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Projects in Claude\nguyenngocung.com\"/>
    </mc:Choice>
  </mc:AlternateContent>
  <xr:revisionPtr revIDLastSave="0" documentId="8_{7DB965F0-D002-4662-972F-50DB4A249F65}" xr6:coauthVersionLast="47" xr6:coauthVersionMax="47" xr10:uidLastSave="{00000000-0000-0000-0000-000000000000}"/>
  <bookViews>
    <workbookView xWindow="-98" yWindow="-98" windowWidth="21795" windowHeight="13996" xr2:uid="{885F789E-35F1-4A6F-A094-2141EB744AFC}"/>
  </bookViews>
  <sheets>
    <sheet name="0.Huong Dan" sheetId="1" r:id="rId1"/>
    <sheet name="1.Toi Uu Thue" sheetId="2" r:id="rId2"/>
    <sheet name="2.Phan Bo" sheetId="3" r:id="rId3"/>
    <sheet name="3.May Tich Luy"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4" l="1"/>
  <c r="E6" i="2" s="1"/>
  <c r="B14" i="4"/>
  <c r="C13" i="4"/>
  <c r="B13" i="4"/>
  <c r="C12" i="4"/>
  <c r="B12" i="4"/>
  <c r="B6" i="4"/>
  <c r="F32" i="3"/>
  <c r="E32" i="3"/>
  <c r="D32" i="3"/>
  <c r="B32" i="3" s="1"/>
  <c r="C32" i="3"/>
  <c r="F31" i="3"/>
  <c r="E31" i="3"/>
  <c r="D31" i="3"/>
  <c r="B31" i="3" s="1"/>
  <c r="C31" i="3"/>
  <c r="F30" i="3"/>
  <c r="E30" i="3"/>
  <c r="D30" i="3"/>
  <c r="B30" i="3" s="1"/>
  <c r="C30" i="3"/>
  <c r="C26" i="3"/>
  <c r="B14" i="3"/>
  <c r="B13" i="3"/>
  <c r="B12" i="3"/>
  <c r="B11" i="3"/>
  <c r="D36" i="2"/>
  <c r="D34" i="2"/>
  <c r="C34" i="2"/>
  <c r="B34" i="2"/>
  <c r="D33" i="2"/>
  <c r="C33" i="2"/>
  <c r="B33" i="2"/>
  <c r="D32" i="2"/>
  <c r="C32" i="2"/>
  <c r="B32" i="2"/>
  <c r="D31" i="2"/>
  <c r="C31" i="2"/>
  <c r="B31" i="2"/>
  <c r="D30" i="2"/>
  <c r="C30" i="2"/>
  <c r="B30" i="2"/>
  <c r="D29" i="2"/>
  <c r="C29" i="2"/>
  <c r="C28" i="2"/>
  <c r="B28" i="2"/>
  <c r="C27" i="2"/>
  <c r="B27" i="2"/>
  <c r="D25" i="2"/>
  <c r="C25" i="2"/>
  <c r="B25" i="2"/>
  <c r="D24" i="2"/>
  <c r="C24" i="2"/>
  <c r="B24" i="2"/>
  <c r="D23" i="2"/>
  <c r="C23" i="2"/>
  <c r="B23" i="2"/>
  <c r="B12" i="2"/>
  <c r="C6" i="2"/>
  <c r="A6" i="2" l="1"/>
</calcChain>
</file>

<file path=xl/sharedStrings.xml><?xml version="1.0" encoding="utf-8"?>
<sst xmlns="http://schemas.openxmlformats.org/spreadsheetml/2006/main" count="161" uniqueCount="149">
  <si>
    <t>FILE EXCEL ĐỒNG HÀNH: TÍCH SẢN CHUYÊN GIA &amp; TỐI ƯU THUẾ TNCN</t>
  </si>
  <si>
    <t>Công cụ Tự động hóa Phân bổ 3 Lớp &amp; Tối ưu Thuế TNCN | Nguyễn Ngọc Ưng</t>
  </si>
  <si>
    <t>GIỚI THIỆU CÔNG CỤ</t>
  </si>
  <si>
    <t>Công cụ này được thiết kế dựa trên triết lý Hoạch định Tài chính Chuyên nghiệp (FIDT) nhằm hỗ trợ các chuyên gia bận rộn: (1) Tính toán tối ưu hóa các lá chắn thuế hợp pháp để giữ lại dòng tiền lớn nhất; (2) Phân bổ dòng tiền thặng dư vào 3 lớp tài sản (Phòng thủ, Tích sản, Cơ hội) tương thích với tuổi tác và khẩu vị rủi ro cá nhân; (3) Tự động hóa kế hoạch tích lũy bằng lãi kép.</t>
  </si>
  <si>
    <t>CẤU TRÚC FILE EXCEL ĐỒNG HÀNH</t>
  </si>
  <si>
    <t>[1]  Sheet 1: Toi Uu Thue   →   Mô hình hoá và so sánh Thuế TNCN luỹ tiến của bạn. Giúp thiết kế phương án cơ cấu phụ cấp lương W2 và chuyển đổi Side Income tư vấn ngoài sang Hộ kinh doanh cá thể.</t>
  </si>
  <si>
    <t>[2]  Sheet 2: Phan Bo     →   Xác định tỷ lệ phân bổ mục tiêu của 3 Lớp tài sản. Nhập tài sản thực tế để bảng tự động kiểm tra độ lệch (%) và đề xuất các hành động tái cân bằng.</t>
  </si>
  <si>
    <t>[3]  Sheet 3: May Tich Luy →   Mô phỏng sức mạnh tích lũy lãi kép dài hạn khi bạn tái đầu tư 100% số tiền thuế tiết kiệm được vào CCQ Cổ phiếu tăng trưởng.</t>
  </si>
  <si>
    <t>HƯỚNG DẪN SỬ DỤNG</t>
  </si>
  <si>
    <t>✔  Hãy điền thông tin vào các ô màu vàng nhạt (ô có viền và nền vàng nhạt).</t>
  </si>
  <si>
    <t>✔  Các ô màu khác chứa công thức tự động tính toán, vui lòng không tự ý sửa đổi công thức.</t>
  </si>
  <si>
    <t>✔  Dữ liệu lưu cục bộ trên máy tính của bạn, hoàn toàn bảo mật và an toàn.</t>
  </si>
  <si>
    <t>✔  Sau khi điền, hãy thảo luận phương án tối ưu thuế &amp; phân bổ tài sản với FP Đồng Hành của bạn.</t>
  </si>
  <si>
    <t>THÔNG TIN LIÊN HỆ ĐỒNG HÀNH</t>
  </si>
  <si>
    <t>Nguyễn Ngọc Ưng · Học viên Hoạch định Tài chính (Được hỗ trợ &amp; giám sát chuyên môn bởi Đội ngũ Chuyên gia FIDT)</t>
  </si>
  <si>
    <t>Zalo: 0826814678 · Website: www.nguyenngocung.com</t>
  </si>
  <si>
    <t>PHẦN 1 — TỐI ƯU HÓA THUẾ TNCN CHUYÊN GIA</t>
  </si>
  <si>
    <t>Hãy điền các thông số vào ô vàng nhạt · Công thức tự động so sánh hai kịch bản</t>
  </si>
  <si>
    <t>⚡  BẢNG CHỈ SỐ TỐI ƯU THUẾ &amp; TÍCH LŨY</t>
  </si>
  <si>
    <t>TỶ LỆ GIẢM THUẾ</t>
  </si>
  <si>
    <t>Lá chắn thuế tối ưu</t>
  </si>
  <si>
    <t>TIẾT KIỆM HÀNG NĂM</t>
  </si>
  <si>
    <t>Số tiền giữ lại được</t>
  </si>
  <si>
    <t>TÀI SẢN THẶNG DƯ (20 NĂM)</t>
  </si>
  <si>
    <t>Tái đầu tư lãi kép 12%</t>
  </si>
  <si>
    <t>👤  BƯỚC 1: THÔNG TIN THU NHẬP &amp; GIẢM TRỪ HIỆN TẠI (HÀNG THÁNG)</t>
  </si>
  <si>
    <t>Lương Gộp hàng tháng (Gross Salary)</t>
  </si>
  <si>
    <t>* Tổng thu nhập ghi trên hợp đồng lao động</t>
  </si>
  <si>
    <t>Số người phụ thuộc gia cảnh</t>
  </si>
  <si>
    <t>* Bố mẹ không thu nhập, con nhỏ, v.v. (Giảm trừ 4.4tr/người)</t>
  </si>
  <si>
    <t>Bảo hiểm bắt buộc đóng mỗi tháng</t>
  </si>
  <si>
    <t>* Mặc định tính 10.5% lương Gộp (tối đa 4,914,000 VND)</t>
  </si>
  <si>
    <t>Phụ cấp miễn thuế hiện tại</t>
  </si>
  <si>
    <t>* Các khoản ăn trưa, điện thoại, đồng phục có sẵn (nếu có)</t>
  </si>
  <si>
    <t>Thu nhập từ dự án tư vấn ngoài</t>
  </si>
  <si>
    <t>* Thu nhập thặng dư W2 dự án ngoài (chịu thuế kịch trần)</t>
  </si>
  <si>
    <t>⚡  BƯỚC 2: CÁC GIẢI PHÁP TỐI ƯU ĐỀ XUẤT</t>
  </si>
  <si>
    <t>Đóng góp Quỹ hưu trí tự nguyện</t>
  </si>
  <si>
    <t>* Khoản đóng bảo hiểm hưu trí tự nguyện (Miễn thuế tối đa 1tr/tháng)</t>
  </si>
  <si>
    <t>Cơ cấu phụ cấp miễn thuế bổ sung</t>
  </si>
  <si>
    <t>* Chuyển đổi một phần lương cứng sang phụ cấp ăn trưa, đồng phục, điện thoại</t>
  </si>
  <si>
    <t>Chuyển Side Income sang Hộ Kinh Doanh</t>
  </si>
  <si>
    <t>* Nhập 'Co' để chuyển thuế khoán HKD (7%) thay vì progressive (35%)</t>
  </si>
  <si>
    <t>Co</t>
  </si>
  <si>
    <t>📊  BƯỚC 3: SO SÁNH PHƯƠNG ÁN THUẾ TNCN (ĐƠN VỊ: VND)</t>
  </si>
  <si>
    <t>Khoản mục tính toán</t>
  </si>
  <si>
    <t>Hiện tại</t>
  </si>
  <si>
    <t>Đề xuất tối ưu</t>
  </si>
  <si>
    <t>Thuế tiết kiệm</t>
  </si>
  <si>
    <t>Diễn giải công thức</t>
  </si>
  <si>
    <t>Lương gộp hàng tháng</t>
  </si>
  <si>
    <t>Lương cứng theo hợp đồng</t>
  </si>
  <si>
    <t>Phụ cấp miễn thuế</t>
  </si>
  <si>
    <t>Cơ cấu lại cấu trúc lương</t>
  </si>
  <si>
    <t>Thu nhập chịu thuế từ lương</t>
  </si>
  <si>
    <t>Thu nhập chịu thuế = Gộp - Phụ cấp</t>
  </si>
  <si>
    <t>Giảm trừ gia cảnh bản thân</t>
  </si>
  <si>
    <t>Cố định 11 triệu/tháng</t>
  </si>
  <si>
    <t>Giảm trừ người phụ thuộc</t>
  </si>
  <si>
    <t>Cố định 4.4 triệu/người</t>
  </si>
  <si>
    <t>Giảm trừ bảo hiểm bắt buộc</t>
  </si>
  <si>
    <t>Theo số thực đóng BHXH</t>
  </si>
  <si>
    <t>Giảm trừ hưu trí tự nguyện</t>
  </si>
  <si>
    <t>Khấu trừ tối đa 1 triệu/tháng</t>
  </si>
  <si>
    <t>Tổng các khoản giảm trừ</t>
  </si>
  <si>
    <t>Tổng các khoản giảm trừ thuế</t>
  </si>
  <si>
    <t>Thu nhập tính thuế từ lương</t>
  </si>
  <si>
    <t>Thu nhập tính thuế thực tế</t>
  </si>
  <si>
    <t>Thuế TNCN phát sinh từ lương</t>
  </si>
  <si>
    <t>Áp dụng biểu thuế lũy tiến 7 bậc</t>
  </si>
  <si>
    <t>Thuế TNCN từ Side Income (Tư vấn)</t>
  </si>
  <si>
    <t>Đề xuất HKD đóng thuế khoán 7%</t>
  </si>
  <si>
    <t>TỔNG THUẾ TNCN PHẢI NỘP / THÁNG</t>
  </si>
  <si>
    <t>Tổng số thuế phát sinh</t>
  </si>
  <si>
    <t>💰  TỔNG SỐ TIỀN THUẾ TIẾT KIỆM ĐƯỢC MỖI NĂM</t>
  </si>
  <si>
    <t>PHẦN 2 — TỰ ĐỘNG HÓA PHÂN BỔ TÀI SẢN 3 LỚP</t>
  </si>
  <si>
    <t>Xác định chân dung mục tiêu · Tự động cảnh báo chênh lệch và tái cân bằng</t>
  </si>
  <si>
    <t>👤  BƯỚC 1: KHẨU VỊ RỦI RO &amp; KHẢ NĂNG TÍCH LUỸ</t>
  </si>
  <si>
    <t>Tuổi hiện tại của bạn</t>
  </si>
  <si>
    <t>* Ảnh hưởng lớn tới chân trời đầu tư (Hưu trí)</t>
  </si>
  <si>
    <t>Khẩu vị rủi ro (Thấp / Trung Bình / Cao)</t>
  </si>
  <si>
    <t>* Thấp: bảo vệ vốn | Trung Bình: cân bằng | Cao: tăng trưởng</t>
  </si>
  <si>
    <t>Trung Binh</t>
  </si>
  <si>
    <t>Thu nhập tích lũy được hàng tháng</t>
  </si>
  <si>
    <t>* Số tiền thặng dư đầu tư thực tế (chưa cộng thuế tiết kiệm)</t>
  </si>
  <si>
    <t>🤖  BƯỚC 2: KHUYẾN NGHỊ TỶ LỆ PHÂN BỔ 3 LỚP</t>
  </si>
  <si>
    <t>Lớp Tài Sản</t>
  </si>
  <si>
    <t>Tỷ Lệ Mục Tiêu</t>
  </si>
  <si>
    <t>Mô tả vai trò &amp; Sản phẩm tích sản gợi ý</t>
  </si>
  <si>
    <t>🛡️ Lớp Phòng Thủ (Defense)</t>
  </si>
  <si>
    <t>Bảo vệ tài chính: Quỹ dự phòng sinh tồn, Bảo hiểm sức khỏe/nhân thọ, Tiền gửi ngắn hạn.</t>
  </si>
  <si>
    <t>📈 Lớp Tích Sản (Growth/Accumulation)</t>
  </si>
  <si>
    <t>Động cơ tăng trưởng tài sản chính: Chứng chỉ quỹ mở cổ phiếu (DCA), BĐS tích lũy.</t>
  </si>
  <si>
    <t>🚀 Lớp Cơ Hội / Thay Thế (Opportunity)</t>
  </si>
  <si>
    <t>Tối ưu hóa lợi nhuận khi có biến động: Cổ phiếu cá nhân, Crypto, Vàng vật chất (Lớp 4). Capped rủi ro.</t>
  </si>
  <si>
    <t>TỔNG CỘNG MỤC TIÊU</t>
  </si>
  <si>
    <t>Bắt buộc bằng 100% để đảm bảo hệ thống không bị lệch phân bổ</t>
  </si>
  <si>
    <t>🏦  BƯỚC 3: BẢNG KÊ CHI TIẾT TÀI SẢN HIỆN TẠI &amp; THỰC TẾ</t>
  </si>
  <si>
    <t>Kênh đầu tư / Tài khoản</t>
  </si>
  <si>
    <t>Lớp Tài Sản phân loại</t>
  </si>
  <si>
    <t>Số tiền hiện có (VND)</t>
  </si>
  <si>
    <t>Chi tiết mô tả / Nơi giữ tài sản</t>
  </si>
  <si>
    <t>Tiền mặt / Quỹ khẩn cấp</t>
  </si>
  <si>
    <t>Tài khoản ngân hàng Techcombank tách biệt</t>
  </si>
  <si>
    <t>Tiết kiệm ngân hàng kỳ hạn</t>
  </si>
  <si>
    <t>Tiết kiệm 6 tháng lãi suất 5.5%</t>
  </si>
  <si>
    <t>Bảo hiểm nhân thọ (Giá trị hoàn lại)</t>
  </si>
  <si>
    <t>Bảo hiểm liên kết chung - giá trị tích luỹ</t>
  </si>
  <si>
    <t>Chứng chỉ quỹ cổ phiếu mở (DCA)</t>
  </si>
  <si>
    <t>Mua định kỳ hàng tháng qua Fmarket/VinaCapital</t>
  </si>
  <si>
    <t>Bất động sản đầu tư/Tích luỹ</t>
  </si>
  <si>
    <t>Đất nền sổ đỏ dài hạn, không vay đòn bẩy quá mức</t>
  </si>
  <si>
    <t>Cổ phiếu cá nhân tự chọn</t>
  </si>
  <si>
    <t>Tài khoản VPS đầu tư các mã Bluechips tự chọn</t>
  </si>
  <si>
    <t>Vàng vật chất SJC</t>
  </si>
  <si>
    <t>Vàng miếng SJC tích trữ dài hạn phòng vệ vĩ mô</t>
  </si>
  <si>
    <t>Crypto / Tài sản kỹ thuật số</t>
  </si>
  <si>
    <t>Bitcoin, Ethereum lưu trữ ví lạnh</t>
  </si>
  <si>
    <t>TỔNG TÀI SẢN ĐẦU TƯ THỰC TẾ</t>
  </si>
  <si>
    <t>Tổng kê khai</t>
  </si>
  <si>
    <t>Số tiền thực tế bạn đang phân bổ vào thị trường</t>
  </si>
  <si>
    <t>📊  BƯỚC 4: ĐỐI CHIẾU THỰC TẾ VÀ MỤC TIÊU MONG MUỐN</t>
  </si>
  <si>
    <t>% Thực Tế</t>
  </si>
  <si>
    <t>% Đề Xuất</t>
  </si>
  <si>
    <t>Thực tế (VND)</t>
  </si>
  <si>
    <t>Độ Lệch (%)</t>
  </si>
  <si>
    <t>Cảnh báo &amp; Khuyến nghị tái cân bằng</t>
  </si>
  <si>
    <t>PHẦN 3 — MÁY TÍNH LÃI KÉP &amp; TỰ ĐỘNG HÓA TÀI SẢN</t>
  </si>
  <si>
    <t>Mô phỏng sức mạnh lãi kép khi tái đầu tư toàn bộ số thuế tiết kiệm được</t>
  </si>
  <si>
    <t>⚙️  BƯỚC 1: THÔNG SỐ ĐẦU VÀO TÍCH LUỸ</t>
  </si>
  <si>
    <t>Số tiền tự tích lũy hàng tháng</t>
  </si>
  <si>
    <t>* Số tiền trích từ thu nhập thặng dư W2 (VND)</t>
  </si>
  <si>
    <t>Số tiền thuế tiết kiệm thêm hàng tháng</t>
  </si>
  <si>
    <t>* Liên kết tự động từ Sheet Tối Ưu Thuế (VND)</t>
  </si>
  <si>
    <t>Lãi suất kỳ vọng hàng năm (%)</t>
  </si>
  <si>
    <t>* Gợi ý: 10% - 12% đối với rổ quỹ mở cổ phiếu dài hạn</t>
  </si>
  <si>
    <t>Số năm tích lũy mục tiêu</t>
  </si>
  <si>
    <t>* Thời gian duy trì kế hoạch tích lũy</t>
  </si>
  <si>
    <t>🔮  BƯỚC 2: MÔ PHỎNG DỰ BÁO TÀI SẢN TƯƠNG LAI</t>
  </si>
  <si>
    <t>Kịch Bản Đầu Tư</t>
  </si>
  <si>
    <t>Số tiền/Tháng (VND)</t>
  </si>
  <si>
    <t>Tổng Tài Sản Sau B8 Năm (VND)</t>
  </si>
  <si>
    <t>Mô tả kịch bản</t>
  </si>
  <si>
    <t>Kịch bản A: Chỉ tích lũy thặng dư cơ bản</t>
  </si>
  <si>
    <t>Chỉ đầu tư thặng dư thông thường, bỏ phí tiền thuế</t>
  </si>
  <si>
    <t>Kịch bản B: Tái đầu tư 100% Thuế tiết kiệm</t>
  </si>
  <si>
    <t>Duy trì DCA tự động cả thặng dư và thuế tối ưu</t>
  </si>
  <si>
    <t>TÀI SẢN THẶNG DƯ TĂNG THÊM NHỜ LÁ CHẮN THUẾ</t>
  </si>
  <si>
    <t>Khoản tiền lời tăng thêm MIỄN PHÍ nhờ tối ưu thuế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</si>
</sst>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b/>
      <sz val="16"/>
      <color rgb="FFFFFFFF"/>
      <name val="Arial"/>
      <family val="2"/>
    </font>
    <font>
      <sz val="11"/>
      <color theme="1"/>
      <name val="Arial"/>
      <family val="2"/>
    </font>
    <font>
      <sz val="10"/>
      <color rgb="FFFFFFFF"/>
      <name val="Arial"/>
      <family val="2"/>
    </font>
    <font>
      <b/>
      <sz val="13"/>
      <color rgb="FFFFFFFF"/>
      <name val="Arial"/>
      <family val="2"/>
    </font>
    <font>
      <sz val="10"/>
      <color rgb="FF6A7072"/>
      <name val="Arial"/>
      <family val="2"/>
    </font>
    <font>
      <b/>
      <sz val="12"/>
      <color rgb="FFFFFFFF"/>
      <name val="Arial"/>
      <family val="2"/>
    </font>
    <font>
      <b/>
      <sz val="11.5"/>
      <color rgb="FFFFFFFF"/>
      <name val="Arial"/>
      <family val="2"/>
    </font>
    <font>
      <b/>
      <sz val="8.5"/>
      <color rgb="FF6A7072"/>
      <name val="Arial"/>
      <family val="2"/>
    </font>
    <font>
      <b/>
      <sz val="15"/>
      <color rgb="FF527D2E"/>
      <name val="Arial"/>
      <family val="2"/>
    </font>
    <font>
      <b/>
      <sz val="15"/>
      <color rgb="FFC9973A"/>
      <name val="Arial"/>
      <family val="2"/>
    </font>
    <font>
      <sz val="8.5"/>
      <color rgb="FF6A7072"/>
      <name val="Arial"/>
      <family val="2"/>
    </font>
    <font>
      <b/>
      <sz val="10"/>
      <color rgb="FF002454"/>
      <name val="Arial"/>
      <family val="2"/>
    </font>
    <font>
      <b/>
      <sz val="10"/>
      <color rgb="FF111111"/>
      <name val="Arial"/>
      <family val="2"/>
    </font>
    <font>
      <i/>
      <sz val="8.5"/>
      <color rgb="FF6A7072"/>
      <name val="Arial"/>
      <family val="2"/>
    </font>
    <font>
      <b/>
      <sz val="9"/>
      <color rgb="FF6A7072"/>
      <name val="Arial"/>
      <family val="2"/>
    </font>
    <font>
      <b/>
      <sz val="9.5"/>
      <color rgb="FF111111"/>
      <name val="Arial"/>
      <family val="2"/>
    </font>
    <font>
      <sz val="9.5"/>
      <color rgb="FF111111"/>
      <name val="Arial"/>
      <family val="2"/>
    </font>
    <font>
      <sz val="10"/>
      <color rgb="FF111111"/>
      <name val="Arial"/>
      <family val="2"/>
    </font>
    <font>
      <b/>
      <sz val="10"/>
      <color rgb="FF527D2E"/>
      <name val="Arial"/>
      <family val="2"/>
    </font>
    <font>
      <b/>
      <sz val="9.5"/>
      <color rgb="FF527D2E"/>
      <name val="Arial"/>
      <family val="2"/>
    </font>
    <font>
      <b/>
      <sz val="10.5"/>
      <color rgb="FF002454"/>
      <name val="Arial"/>
      <family val="2"/>
    </font>
    <font>
      <b/>
      <sz val="11"/>
      <color rgb="FF527D2E"/>
      <name val="Arial"/>
      <family val="2"/>
    </font>
    <font>
      <sz val="9"/>
      <color rgb="FF6A7072"/>
      <name val="Arial"/>
      <family val="2"/>
    </font>
    <font>
      <b/>
      <sz val="11.5"/>
      <color rgb="FF527D2E"/>
      <name val="Arial"/>
      <family val="2"/>
    </font>
    <font>
      <b/>
      <sz val="14"/>
      <color rgb="FF527D2E"/>
      <name val="Arial"/>
      <family val="2"/>
    </font>
    <font>
      <b/>
      <sz val="9.5"/>
      <color rgb="FF6A7072"/>
      <name val="Arial"/>
      <family val="2"/>
    </font>
    <font>
      <b/>
      <sz val="11"/>
      <color rgb="FF002454"/>
      <name val="Arial"/>
      <family val="2"/>
    </font>
    <font>
      <i/>
      <sz val="10"/>
      <color rgb="FF6A7072"/>
      <name val="Arial"/>
      <family val="2"/>
    </font>
    <font>
      <b/>
      <sz val="10.5"/>
      <color rgb="FF111111"/>
      <name val="Arial"/>
      <family val="2"/>
    </font>
    <font>
      <b/>
      <sz val="10.5"/>
      <color rgb="FF527D2E"/>
      <name val="Arial"/>
      <family val="2"/>
    </font>
    <font>
      <b/>
      <sz val="10"/>
      <color rgb="FF6A7072"/>
      <name val="Arial"/>
      <family val="2"/>
    </font>
    <font>
      <b/>
      <sz val="12"/>
      <color rgb="FF527D2E"/>
      <name val="Arial"/>
      <family val="2"/>
    </font>
  </fonts>
  <fills count="16">
    <fill>
      <patternFill patternType="none"/>
    </fill>
    <fill>
      <patternFill patternType="gray125"/>
    </fill>
    <fill>
      <patternFill patternType="solid">
        <fgColor rgb="FF002454"/>
        <bgColor indexed="64"/>
      </patternFill>
    </fill>
    <fill>
      <patternFill patternType="solid">
        <fgColor rgb="FFF01344"/>
        <bgColor indexed="64"/>
      </patternFill>
    </fill>
    <fill>
      <patternFill patternType="solid">
        <fgColor rgb="FFFAF8F4"/>
        <bgColor indexed="64"/>
      </patternFill>
    </fill>
    <fill>
      <patternFill patternType="solid">
        <fgColor rgb="FFF4F1EB"/>
        <bgColor indexed="64"/>
      </patternFill>
    </fill>
    <fill>
      <patternFill patternType="solid">
        <fgColor rgb="FFC9973A"/>
        <bgColor indexed="64"/>
      </patternFill>
    </fill>
    <fill>
      <patternFill patternType="solid">
        <fgColor rgb="FFFFFFFF"/>
        <bgColor indexed="64"/>
      </patternFill>
    </fill>
    <fill>
      <patternFill patternType="solid">
        <fgColor rgb="FFB9872A"/>
        <bgColor indexed="64"/>
      </patternFill>
    </fill>
    <fill>
      <patternFill patternType="solid">
        <fgColor rgb="FFF0F8FF"/>
        <bgColor indexed="64"/>
      </patternFill>
    </fill>
    <fill>
      <patternFill patternType="solid">
        <fgColor rgb="FFDDDDDD"/>
        <bgColor indexed="64"/>
      </patternFill>
    </fill>
    <fill>
      <patternFill patternType="solid">
        <fgColor rgb="FFDAEDD4"/>
        <bgColor indexed="64"/>
      </patternFill>
    </fill>
    <fill>
      <patternFill patternType="solid">
        <fgColor rgb="FF527D2E"/>
        <bgColor indexed="64"/>
      </patternFill>
    </fill>
    <fill>
      <patternFill patternType="solid">
        <fgColor rgb="FF426D1E"/>
        <bgColor indexed="64"/>
      </patternFill>
    </fill>
    <fill>
      <patternFill patternType="solid">
        <fgColor rgb="FFC0392B"/>
        <bgColor indexed="64"/>
      </patternFill>
    </fill>
    <fill>
      <patternFill patternType="solid">
        <fgColor rgb="FFB0291B"/>
        <bgColor indexed="64"/>
      </patternFill>
    </fill>
  </fills>
  <borders count="14">
    <border>
      <left/>
      <right/>
      <top/>
      <bottom/>
      <diagonal/>
    </border>
    <border>
      <left/>
      <right/>
      <top style="thin">
        <color rgb="FF88BBCC"/>
      </top>
      <bottom/>
      <diagonal/>
    </border>
    <border>
      <left style="thin">
        <color rgb="FF88BBCC"/>
      </left>
      <right/>
      <top style="thin">
        <color rgb="FF88BBCC"/>
      </top>
      <bottom/>
      <diagonal/>
    </border>
    <border>
      <left/>
      <right style="thin">
        <color rgb="FF88BBCC"/>
      </right>
      <top style="thin">
        <color rgb="FF88BBCC"/>
      </top>
      <bottom/>
      <diagonal/>
    </border>
    <border>
      <left style="thin">
        <color rgb="FF88BBCC"/>
      </left>
      <right/>
      <top/>
      <bottom/>
      <diagonal/>
    </border>
    <border>
      <left/>
      <right style="thin">
        <color rgb="FF88BBCC"/>
      </right>
      <top/>
      <bottom/>
      <diagonal/>
    </border>
    <border>
      <left/>
      <right/>
      <top/>
      <bottom style="thin">
        <color rgb="FF88BBCC"/>
      </bottom>
      <diagonal/>
    </border>
    <border>
      <left style="thin">
        <color rgb="FF88BBCC"/>
      </left>
      <right/>
      <top/>
      <bottom style="thin">
        <color rgb="FF88BBCC"/>
      </bottom>
      <diagonal/>
    </border>
    <border>
      <left/>
      <right style="thin">
        <color rgb="FF88BBCC"/>
      </right>
      <top/>
      <bottom style="thin">
        <color rgb="FF88BBCC"/>
      </bottom>
      <diagonal/>
    </border>
    <border>
      <left style="thin">
        <color rgb="FF88BBCC"/>
      </left>
      <right/>
      <top style="thin">
        <color rgb="FF88BBCC"/>
      </top>
      <bottom style="thin">
        <color rgb="FF88BBCC"/>
      </bottom>
      <diagonal/>
    </border>
    <border>
      <left style="thin">
        <color rgb="FF88BBCC"/>
      </left>
      <right style="thin">
        <color rgb="FF88BBCC"/>
      </right>
      <top style="thin">
        <color rgb="FF88BBCC"/>
      </top>
      <bottom style="thin">
        <color rgb="FF88BBCC"/>
      </bottom>
      <diagonal/>
    </border>
    <border>
      <left style="thin">
        <color rgb="FF88BBCC"/>
      </left>
      <right style="thin">
        <color rgb="FF88BBCC"/>
      </right>
      <top style="thin">
        <color rgb="FF88BBCC"/>
      </top>
      <bottom/>
      <diagonal/>
    </border>
    <border>
      <left/>
      <right/>
      <top style="thin">
        <color indexed="64"/>
      </top>
      <bottom style="double">
        <color indexed="64"/>
      </bottom>
      <diagonal/>
    </border>
    <border>
      <left/>
      <right/>
      <top style="thin">
        <color rgb="FF88BBCC"/>
      </top>
      <bottom style="double">
        <color indexed="64"/>
      </bottom>
      <diagonal/>
    </border>
  </borders>
  <cellStyleXfs count="1">
    <xf numFmtId="0" fontId="0" fillId="0" borderId="0"/>
  </cellStyleXfs>
  <cellXfs count="93">
    <xf numFmtId="0" fontId="0" fillId="0" borderId="0" xfId="0"/>
    <xf numFmtId="0" fontId="1" fillId="2" borderId="0" xfId="0" applyFont="1" applyFill="1" applyAlignment="1">
      <alignment horizontal="center"/>
    </xf>
    <xf numFmtId="0" fontId="2" fillId="0" borderId="0" xfId="0" applyFont="1" applyAlignment="1">
      <alignment horizontal="center"/>
    </xf>
    <xf numFmtId="0" fontId="2" fillId="0" borderId="0" xfId="0" applyFont="1"/>
    <xf numFmtId="0" fontId="3" fillId="3" borderId="0" xfId="0" applyFont="1" applyFill="1" applyAlignment="1">
      <alignment horizontal="center" wrapText="1"/>
    </xf>
    <xf numFmtId="0" fontId="2" fillId="0" borderId="0" xfId="0" applyFont="1" applyAlignment="1">
      <alignment horizontal="center" wrapText="1"/>
    </xf>
    <xf numFmtId="0" fontId="4" fillId="2" borderId="0" xfId="0" applyFont="1" applyFill="1" applyAlignment="1">
      <alignment horizontal="left" wrapText="1" indent="1"/>
    </xf>
    <xf numFmtId="0" fontId="5" fillId="4" borderId="0" xfId="0" applyFont="1" applyFill="1" applyAlignment="1">
      <alignment horizontal="left" wrapText="1" indent="2"/>
    </xf>
    <xf numFmtId="0" fontId="5" fillId="5" borderId="0" xfId="0" applyFont="1" applyFill="1" applyAlignment="1">
      <alignment horizontal="left" wrapText="1" indent="2"/>
    </xf>
    <xf numFmtId="0" fontId="4" fillId="6" borderId="0" xfId="0" applyFont="1" applyFill="1" applyAlignment="1">
      <alignment horizontal="left" wrapText="1" indent="1"/>
    </xf>
    <xf numFmtId="0" fontId="5" fillId="7" borderId="0" xfId="0" applyFont="1" applyFill="1" applyAlignment="1">
      <alignment horizontal="left" wrapText="1" indent="2"/>
    </xf>
    <xf numFmtId="0" fontId="6" fillId="2" borderId="0" xfId="0" applyFont="1" applyFill="1" applyAlignment="1">
      <alignment horizontal="left" wrapText="1" indent="1"/>
    </xf>
    <xf numFmtId="0" fontId="1" fillId="6" borderId="0" xfId="0" applyFont="1" applyFill="1" applyAlignment="1">
      <alignment horizontal="center"/>
    </xf>
    <xf numFmtId="0" fontId="3" fillId="8" borderId="0" xfId="0" applyFont="1" applyFill="1" applyAlignment="1">
      <alignment horizontal="center" wrapText="1"/>
    </xf>
    <xf numFmtId="0" fontId="7" fillId="2" borderId="0" xfId="0" applyFont="1" applyFill="1" applyAlignment="1">
      <alignment horizontal="left" indent="1"/>
    </xf>
    <xf numFmtId="0" fontId="2" fillId="0" borderId="0" xfId="0" applyFont="1" applyAlignment="1">
      <alignment horizontal="left" indent="1"/>
    </xf>
    <xf numFmtId="3" fontId="8" fillId="4" borderId="2" xfId="0" applyNumberFormat="1" applyFont="1" applyFill="1" applyBorder="1" applyAlignment="1">
      <alignment horizontal="center"/>
    </xf>
    <xf numFmtId="3" fontId="2" fillId="0" borderId="1" xfId="0" applyNumberFormat="1" applyFont="1" applyBorder="1" applyAlignment="1">
      <alignment horizontal="center"/>
    </xf>
    <xf numFmtId="3" fontId="2" fillId="0" borderId="3" xfId="0" applyNumberFormat="1" applyFont="1" applyBorder="1" applyAlignment="1">
      <alignment horizontal="center"/>
    </xf>
    <xf numFmtId="164" fontId="9" fillId="4" borderId="4" xfId="0" applyNumberFormat="1" applyFont="1" applyFill="1" applyBorder="1" applyAlignment="1">
      <alignment horizontal="center"/>
    </xf>
    <xf numFmtId="164" fontId="2" fillId="0" borderId="0" xfId="0" applyNumberFormat="1" applyFont="1" applyBorder="1" applyAlignment="1">
      <alignment horizontal="center"/>
    </xf>
    <xf numFmtId="3" fontId="9" fillId="4" borderId="4" xfId="0" applyNumberFormat="1" applyFont="1" applyFill="1" applyBorder="1" applyAlignment="1">
      <alignment horizontal="center"/>
    </xf>
    <xf numFmtId="3" fontId="2" fillId="0" borderId="0" xfId="0" applyNumberFormat="1" applyFont="1" applyBorder="1" applyAlignment="1">
      <alignment horizontal="center"/>
    </xf>
    <xf numFmtId="3" fontId="10" fillId="4" borderId="4" xfId="0" applyNumberFormat="1" applyFont="1" applyFill="1" applyBorder="1" applyAlignment="1">
      <alignment horizontal="center"/>
    </xf>
    <xf numFmtId="3" fontId="2" fillId="0" borderId="5" xfId="0" applyNumberFormat="1" applyFont="1" applyBorder="1" applyAlignment="1">
      <alignment horizontal="center"/>
    </xf>
    <xf numFmtId="3" fontId="11" fillId="4" borderId="7" xfId="0" applyNumberFormat="1" applyFont="1" applyFill="1" applyBorder="1" applyAlignment="1">
      <alignment horizontal="center"/>
    </xf>
    <xf numFmtId="3" fontId="2" fillId="0" borderId="6" xfId="0" applyNumberFormat="1" applyFont="1" applyBorder="1" applyAlignment="1">
      <alignment horizontal="center"/>
    </xf>
    <xf numFmtId="3" fontId="2" fillId="0" borderId="8" xfId="0" applyNumberFormat="1" applyFont="1" applyBorder="1" applyAlignment="1">
      <alignment horizontal="center"/>
    </xf>
    <xf numFmtId="0" fontId="12" fillId="0" borderId="0" xfId="0" applyFont="1" applyAlignment="1">
      <alignment wrapText="1"/>
    </xf>
    <xf numFmtId="3" fontId="13" fillId="9" borderId="11" xfId="0" applyNumberFormat="1" applyFont="1" applyFill="1" applyBorder="1" applyAlignment="1">
      <alignment wrapText="1"/>
    </xf>
    <xf numFmtId="0" fontId="14" fillId="0" borderId="0" xfId="0" applyFont="1" applyAlignment="1">
      <alignment wrapText="1"/>
    </xf>
    <xf numFmtId="0" fontId="2" fillId="0" borderId="0" xfId="0" applyFont="1" applyAlignment="1">
      <alignment wrapText="1"/>
    </xf>
    <xf numFmtId="0" fontId="13" fillId="9" borderId="11" xfId="0" applyFont="1" applyFill="1" applyBorder="1" applyAlignment="1">
      <alignment wrapText="1"/>
    </xf>
    <xf numFmtId="3" fontId="13" fillId="9" borderId="10" xfId="0" applyNumberFormat="1" applyFont="1" applyFill="1" applyBorder="1" applyAlignment="1">
      <alignment wrapText="1"/>
    </xf>
    <xf numFmtId="0" fontId="13" fillId="9" borderId="10" xfId="0" applyFont="1" applyFill="1" applyBorder="1" applyAlignment="1">
      <alignment wrapText="1"/>
    </xf>
    <xf numFmtId="0" fontId="12" fillId="10" borderId="0" xfId="0" applyFont="1" applyFill="1" applyAlignment="1">
      <alignment horizontal="left"/>
    </xf>
    <xf numFmtId="0" fontId="12" fillId="10" borderId="0" xfId="0" applyFont="1" applyFill="1" applyAlignment="1">
      <alignment horizontal="center"/>
    </xf>
    <xf numFmtId="0" fontId="12" fillId="10" borderId="0" xfId="0" applyFont="1" applyFill="1" applyAlignment="1">
      <alignment horizontal="center"/>
    </xf>
    <xf numFmtId="0" fontId="15" fillId="10" borderId="0" xfId="0" applyFont="1" applyFill="1" applyAlignment="1">
      <alignment horizontal="left"/>
    </xf>
    <xf numFmtId="0" fontId="16" fillId="0" borderId="0" xfId="0" applyFont="1" applyAlignment="1">
      <alignment horizontal="left"/>
    </xf>
    <xf numFmtId="3" fontId="17" fillId="7" borderId="0" xfId="0" applyNumberFormat="1" applyFont="1" applyFill="1" applyAlignment="1">
      <alignment horizontal="center"/>
    </xf>
    <xf numFmtId="3" fontId="17" fillId="7" borderId="0" xfId="0" applyNumberFormat="1" applyFont="1" applyFill="1" applyAlignment="1">
      <alignment horizontal="center"/>
    </xf>
    <xf numFmtId="0" fontId="17" fillId="7" borderId="0" xfId="0" applyFont="1" applyFill="1" applyAlignment="1">
      <alignment horizontal="center"/>
    </xf>
    <xf numFmtId="0" fontId="18" fillId="0" borderId="0" xfId="0" applyFont="1" applyAlignment="1">
      <alignment horizontal="left"/>
    </xf>
    <xf numFmtId="0" fontId="17" fillId="0" borderId="0" xfId="0" applyFont="1" applyAlignment="1">
      <alignment horizontal="left"/>
    </xf>
    <xf numFmtId="0" fontId="13" fillId="0" borderId="0" xfId="0" applyFont="1" applyAlignment="1">
      <alignment horizontal="left"/>
    </xf>
    <xf numFmtId="3" fontId="18" fillId="7" borderId="0" xfId="0" applyNumberFormat="1" applyFont="1" applyFill="1" applyAlignment="1">
      <alignment horizontal="center"/>
    </xf>
    <xf numFmtId="3" fontId="19" fillId="7" borderId="0" xfId="0" applyNumberFormat="1" applyFont="1" applyFill="1" applyAlignment="1">
      <alignment horizontal="center"/>
    </xf>
    <xf numFmtId="0" fontId="19" fillId="7" borderId="0" xfId="0" applyFont="1" applyFill="1" applyAlignment="1">
      <alignment horizontal="center"/>
    </xf>
    <xf numFmtId="3" fontId="20" fillId="7" borderId="0" xfId="0" applyNumberFormat="1" applyFont="1" applyFill="1" applyAlignment="1">
      <alignment horizontal="center"/>
    </xf>
    <xf numFmtId="0" fontId="20" fillId="7" borderId="0" xfId="0" applyFont="1" applyFill="1" applyAlignment="1">
      <alignment horizontal="center"/>
    </xf>
    <xf numFmtId="0" fontId="21" fillId="4" borderId="12" xfId="0" applyFont="1" applyFill="1" applyBorder="1" applyAlignment="1">
      <alignment horizontal="left"/>
    </xf>
    <xf numFmtId="3" fontId="21" fillId="4" borderId="12" xfId="0" applyNumberFormat="1" applyFont="1" applyFill="1" applyBorder="1" applyAlignment="1">
      <alignment horizontal="center"/>
    </xf>
    <xf numFmtId="3" fontId="22" fillId="4" borderId="12" xfId="0" applyNumberFormat="1" applyFont="1" applyFill="1" applyBorder="1" applyAlignment="1">
      <alignment horizontal="center"/>
    </xf>
    <xf numFmtId="0" fontId="22" fillId="4" borderId="0" xfId="0" applyFont="1" applyFill="1" applyAlignment="1">
      <alignment horizontal="center"/>
    </xf>
    <xf numFmtId="0" fontId="23" fillId="4" borderId="0" xfId="0" applyFont="1" applyFill="1" applyAlignment="1">
      <alignment horizontal="left"/>
    </xf>
    <xf numFmtId="3" fontId="2" fillId="0" borderId="0" xfId="0" applyNumberFormat="1" applyFont="1"/>
    <xf numFmtId="0" fontId="24" fillId="11" borderId="0" xfId="0" applyFont="1" applyFill="1" applyAlignment="1">
      <alignment horizontal="left" wrapText="1"/>
    </xf>
    <xf numFmtId="3" fontId="2" fillId="0" borderId="0" xfId="0" applyNumberFormat="1" applyFont="1" applyAlignment="1">
      <alignment horizontal="left" wrapText="1"/>
    </xf>
    <xf numFmtId="3" fontId="25" fillId="11" borderId="12" xfId="0" applyNumberFormat="1" applyFont="1" applyFill="1" applyBorder="1" applyAlignment="1">
      <alignment horizontal="center"/>
    </xf>
    <xf numFmtId="0" fontId="1" fillId="12" borderId="0" xfId="0" applyFont="1" applyFill="1" applyAlignment="1">
      <alignment horizontal="center"/>
    </xf>
    <xf numFmtId="0" fontId="3" fillId="13" borderId="0" xfId="0" applyFont="1" applyFill="1" applyAlignment="1">
      <alignment horizontal="center" wrapText="1"/>
    </xf>
    <xf numFmtId="0" fontId="26" fillId="10" borderId="0" xfId="0" applyFont="1" applyFill="1" applyAlignment="1">
      <alignment horizontal="left"/>
    </xf>
    <xf numFmtId="0" fontId="2" fillId="0" borderId="0" xfId="0" applyFont="1" applyAlignment="1">
      <alignment horizontal="left"/>
    </xf>
    <xf numFmtId="164" fontId="27" fillId="7" borderId="0" xfId="0" applyNumberFormat="1" applyFont="1" applyFill="1" applyAlignment="1">
      <alignment horizontal="center"/>
    </xf>
    <xf numFmtId="0" fontId="18" fillId="0" borderId="0" xfId="0" applyFont="1" applyAlignment="1">
      <alignment horizontal="left"/>
    </xf>
    <xf numFmtId="164" fontId="27" fillId="4" borderId="12" xfId="0" applyNumberFormat="1" applyFont="1" applyFill="1" applyBorder="1" applyAlignment="1">
      <alignment horizontal="center"/>
    </xf>
    <xf numFmtId="0" fontId="23" fillId="4" borderId="0" xfId="0" applyFont="1" applyFill="1" applyAlignment="1">
      <alignment horizontal="left"/>
    </xf>
    <xf numFmtId="3" fontId="13" fillId="9" borderId="2" xfId="0" applyNumberFormat="1" applyFont="1" applyFill="1" applyBorder="1" applyAlignment="1">
      <alignment horizontal="center" wrapText="1"/>
    </xf>
    <xf numFmtId="0" fontId="28" fillId="9" borderId="11" xfId="0" applyFont="1" applyFill="1" applyBorder="1" applyAlignment="1">
      <alignment wrapText="1"/>
    </xf>
    <xf numFmtId="3" fontId="13" fillId="9" borderId="9" xfId="0" applyNumberFormat="1" applyFont="1" applyFill="1" applyBorder="1" applyAlignment="1">
      <alignment horizontal="center" wrapText="1"/>
    </xf>
    <xf numFmtId="0" fontId="28" fillId="9" borderId="10" xfId="0" applyFont="1" applyFill="1" applyBorder="1" applyAlignment="1">
      <alignment wrapText="1"/>
    </xf>
    <xf numFmtId="0" fontId="26" fillId="4" borderId="12" xfId="0" applyFont="1" applyFill="1" applyBorder="1" applyAlignment="1">
      <alignment horizontal="left"/>
    </xf>
    <xf numFmtId="3" fontId="27" fillId="4" borderId="13" xfId="0" applyNumberFormat="1" applyFont="1" applyFill="1" applyBorder="1" applyAlignment="1">
      <alignment horizontal="center"/>
    </xf>
    <xf numFmtId="164" fontId="18" fillId="7" borderId="0" xfId="0" applyNumberFormat="1" applyFont="1" applyFill="1" applyAlignment="1">
      <alignment horizontal="center"/>
    </xf>
    <xf numFmtId="164" fontId="13" fillId="7" borderId="0" xfId="0" applyNumberFormat="1" applyFont="1" applyFill="1" applyAlignment="1">
      <alignment horizontal="center"/>
    </xf>
    <xf numFmtId="0" fontId="17" fillId="7" borderId="0" xfId="0" applyFont="1" applyFill="1" applyAlignment="1">
      <alignment horizontal="left" wrapText="1"/>
    </xf>
    <xf numFmtId="0" fontId="2" fillId="0" borderId="0" xfId="0" applyFont="1" applyAlignment="1">
      <alignment horizontal="left" wrapText="1"/>
    </xf>
    <xf numFmtId="0" fontId="16" fillId="0" borderId="12" xfId="0" applyFont="1" applyBorder="1" applyAlignment="1">
      <alignment horizontal="left"/>
    </xf>
    <xf numFmtId="164" fontId="18" fillId="7" borderId="12" xfId="0" applyNumberFormat="1" applyFont="1" applyFill="1" applyBorder="1" applyAlignment="1">
      <alignment horizontal="center"/>
    </xf>
    <xf numFmtId="3" fontId="18" fillId="7" borderId="12" xfId="0" applyNumberFormat="1" applyFont="1" applyFill="1" applyBorder="1" applyAlignment="1">
      <alignment horizontal="center"/>
    </xf>
    <xf numFmtId="164" fontId="13" fillId="7" borderId="12" xfId="0" applyNumberFormat="1" applyFont="1" applyFill="1" applyBorder="1" applyAlignment="1">
      <alignment horizontal="center"/>
    </xf>
    <xf numFmtId="0" fontId="1" fillId="14" borderId="0" xfId="0" applyFont="1" applyFill="1" applyAlignment="1">
      <alignment horizontal="center"/>
    </xf>
    <xf numFmtId="0" fontId="3" fillId="15" borderId="0" xfId="0" applyFont="1" applyFill="1" applyAlignment="1">
      <alignment horizontal="center" wrapText="1"/>
    </xf>
    <xf numFmtId="0" fontId="14" fillId="0" borderId="0" xfId="0" applyFont="1" applyAlignment="1">
      <alignment wrapText="1"/>
    </xf>
    <xf numFmtId="164" fontId="13" fillId="9" borderId="11" xfId="0" applyNumberFormat="1" applyFont="1" applyFill="1" applyBorder="1" applyAlignment="1">
      <alignment wrapText="1"/>
    </xf>
    <xf numFmtId="1" fontId="13" fillId="9" borderId="10" xfId="0" applyNumberFormat="1" applyFont="1" applyFill="1" applyBorder="1" applyAlignment="1">
      <alignment wrapText="1"/>
    </xf>
    <xf numFmtId="0" fontId="26" fillId="10" borderId="0" xfId="0" applyFont="1" applyFill="1" applyAlignment="1">
      <alignment horizontal="left"/>
    </xf>
    <xf numFmtId="3" fontId="29" fillId="7" borderId="0" xfId="0" applyNumberFormat="1" applyFont="1" applyFill="1" applyAlignment="1">
      <alignment horizontal="center"/>
    </xf>
    <xf numFmtId="3" fontId="24" fillId="7" borderId="0" xfId="0" applyNumberFormat="1" applyFont="1" applyFill="1" applyAlignment="1">
      <alignment horizontal="center"/>
    </xf>
    <xf numFmtId="0" fontId="30" fillId="4" borderId="12" xfId="0" applyFont="1" applyFill="1" applyBorder="1" applyAlignment="1">
      <alignment horizontal="left"/>
    </xf>
    <xf numFmtId="3" fontId="31" fillId="4" borderId="12" xfId="0" applyNumberFormat="1" applyFont="1" applyFill="1" applyBorder="1" applyAlignment="1">
      <alignment horizontal="center"/>
    </xf>
    <xf numFmtId="3" fontId="32" fillId="4" borderId="12" xfId="0" applyNumberFormat="1" applyFont="1" applyFill="1" applyBorder="1" applyAlignment="1">
      <alignment horizontal="center"/>
    </xf>
  </cellXfs>
  <cellStyles count="1">
    <cellStyle name="Normal" xfId="0" builtinId="0"/>
  </cellStyles>
  <dxfs count="3">
    <dxf>
      <font>
        <color rgb="FFC0392B"/>
      </font>
      <fill>
        <patternFill>
          <bgColor rgb="FFDAD7F8"/>
        </patternFill>
      </fill>
    </dxf>
    <dxf>
      <font>
        <color rgb="FFC0392B"/>
      </font>
      <fill>
        <patternFill>
          <bgColor rgb="FFDAD7F8"/>
        </patternFill>
      </fill>
    </dxf>
    <dxf>
      <font>
        <color rgb="FF527D2E"/>
      </font>
      <fill>
        <patternFill>
          <bgColor rgb="FFDAED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Tỷ Lệ Tài Sản: Thực Tế vs. Mục Tiêu</a:t>
            </a:r>
          </a:p>
        </c:rich>
      </c:tx>
      <c:overlay val="0"/>
    </c:title>
    <c:autoTitleDeleted val="0"/>
    <c:plotArea>
      <c:layout/>
      <c:barChart>
        <c:barDir val="col"/>
        <c:grouping val="clustered"/>
        <c:varyColors val="0"/>
        <c:ser>
          <c:idx val="0"/>
          <c:order val="0"/>
          <c:tx>
            <c:strRef>
              <c:f>'2.Phan Bo'!$B$29</c:f>
              <c:strCache>
                <c:ptCount val="1"/>
                <c:pt idx="0">
                  <c:v>% Thực Tế</c:v>
                </c:pt>
              </c:strCache>
            </c:strRef>
          </c:tx>
          <c:invertIfNegative val="0"/>
          <c:cat>
            <c:strRef>
              <c:f>'2.Phan Bo'!$A$30:$A$32</c:f>
              <c:strCache>
                <c:ptCount val="3"/>
                <c:pt idx="0">
                  <c:v>🛡️ Lớp Phòng Thủ (Defense)</c:v>
                </c:pt>
                <c:pt idx="1">
                  <c:v>📈 Lớp Tích Sản (Growth/Accumulation)</c:v>
                </c:pt>
                <c:pt idx="2">
                  <c:v>🚀 Lớp Cơ Hội / Thay Thế (Opportunity)</c:v>
                </c:pt>
              </c:strCache>
            </c:strRef>
          </c:cat>
          <c:val>
            <c:numRef>
              <c:f>'2.Phan Bo'!$B$30:$B$32</c:f>
              <c:numCache>
                <c:formatCode>0.0%</c:formatCode>
                <c:ptCount val="3"/>
                <c:pt idx="0">
                  <c:v>9.0909090909090912E-2</c:v>
                </c:pt>
                <c:pt idx="1">
                  <c:v>0.85858585858585856</c:v>
                </c:pt>
                <c:pt idx="2">
                  <c:v>5.0505050505050504E-2</c:v>
                </c:pt>
              </c:numCache>
            </c:numRef>
          </c:val>
          <c:extLst>
            <c:ext xmlns:c16="http://schemas.microsoft.com/office/drawing/2014/chart" uri="{C3380CC4-5D6E-409C-BE32-E72D297353CC}">
              <c16:uniqueId val="{00000002-C445-4036-BF66-152F56622CC2}"/>
            </c:ext>
          </c:extLst>
        </c:ser>
        <c:ser>
          <c:idx val="1"/>
          <c:order val="1"/>
          <c:tx>
            <c:strRef>
              <c:f>'2.Phan Bo'!$C$29</c:f>
              <c:strCache>
                <c:ptCount val="1"/>
                <c:pt idx="0">
                  <c:v>% Đề Xuất</c:v>
                </c:pt>
              </c:strCache>
            </c:strRef>
          </c:tx>
          <c:invertIfNegative val="0"/>
          <c:cat>
            <c:strRef>
              <c:f>'2.Phan Bo'!$A$30:$A$32</c:f>
              <c:strCache>
                <c:ptCount val="3"/>
                <c:pt idx="0">
                  <c:v>🛡️ Lớp Phòng Thủ (Defense)</c:v>
                </c:pt>
                <c:pt idx="1">
                  <c:v>📈 Lớp Tích Sản (Growth/Accumulation)</c:v>
                </c:pt>
                <c:pt idx="2">
                  <c:v>🚀 Lớp Cơ Hội / Thay Thế (Opportunity)</c:v>
                </c:pt>
              </c:strCache>
            </c:strRef>
          </c:cat>
          <c:val>
            <c:numRef>
              <c:f>'2.Phan Bo'!$C$30:$C$32</c:f>
              <c:numCache>
                <c:formatCode>0.0%</c:formatCode>
                <c:ptCount val="3"/>
                <c:pt idx="0">
                  <c:v>0.2</c:v>
                </c:pt>
                <c:pt idx="1">
                  <c:v>0.75</c:v>
                </c:pt>
                <c:pt idx="2">
                  <c:v>0.05</c:v>
                </c:pt>
              </c:numCache>
            </c:numRef>
          </c:val>
          <c:extLst>
            <c:ext xmlns:c16="http://schemas.microsoft.com/office/drawing/2014/chart" uri="{C3380CC4-5D6E-409C-BE32-E72D297353CC}">
              <c16:uniqueId val="{00000003-C445-4036-BF66-152F56622CC2}"/>
            </c:ext>
          </c:extLst>
        </c:ser>
        <c:dLbls>
          <c:showLegendKey val="0"/>
          <c:showVal val="0"/>
          <c:showCatName val="0"/>
          <c:showSerName val="0"/>
          <c:showPercent val="0"/>
          <c:showBubbleSize val="0"/>
        </c:dLbls>
        <c:gapWidth val="150"/>
        <c:axId val="49575312"/>
        <c:axId val="49584432"/>
      </c:barChart>
      <c:catAx>
        <c:axId val="49575312"/>
        <c:scaling>
          <c:orientation val="minMax"/>
        </c:scaling>
        <c:delete val="0"/>
        <c:axPos val="b"/>
        <c:numFmt formatCode="General" sourceLinked="1"/>
        <c:majorTickMark val="out"/>
        <c:minorTickMark val="none"/>
        <c:tickLblPos val="nextTo"/>
        <c:crossAx val="49584432"/>
        <c:crosses val="autoZero"/>
        <c:auto val="1"/>
        <c:lblAlgn val="ctr"/>
        <c:lblOffset val="100"/>
        <c:noMultiLvlLbl val="0"/>
      </c:catAx>
      <c:valAx>
        <c:axId val="49584432"/>
        <c:scaling>
          <c:orientation val="minMax"/>
        </c:scaling>
        <c:delete val="0"/>
        <c:axPos val="l"/>
        <c:majorGridlines/>
        <c:numFmt formatCode="0.0%" sourceLinked="1"/>
        <c:majorTickMark val="out"/>
        <c:minorTickMark val="none"/>
        <c:tickLblPos val="nextTo"/>
        <c:crossAx val="49575312"/>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27</xdr:row>
      <xdr:rowOff>0</xdr:rowOff>
    </xdr:from>
    <xdr:to>
      <xdr:col>7</xdr:col>
      <xdr:colOff>596900</xdr:colOff>
      <xdr:row>36</xdr:row>
      <xdr:rowOff>95250</xdr:rowOff>
    </xdr:to>
    <xdr:graphicFrame macro="">
      <xdr:nvGraphicFramePr>
        <xdr:cNvPr id="2" name="Chart 1">
          <a:extLst>
            <a:ext uri="{FF2B5EF4-FFF2-40B4-BE49-F238E27FC236}">
              <a16:creationId xmlns:a16="http://schemas.microsoft.com/office/drawing/2014/main" id="{CF833E3C-A47B-9787-B010-5D40CA9A19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C55E-F45F-439A-A6A0-184CC18B3F42}">
  <sheetPr>
    <tabColor rgb="FF002454"/>
  </sheetPr>
  <dimension ref="A1:H20"/>
  <sheetViews>
    <sheetView showGridLines="0" tabSelected="1" workbookViewId="0">
      <selection sqref="A1:H1"/>
    </sheetView>
  </sheetViews>
  <sheetFormatPr defaultRowHeight="13.5" x14ac:dyDescent="0.35"/>
  <cols>
    <col min="1" max="1" width="109.265625" style="3" bestFit="1" customWidth="1"/>
    <col min="2" max="16384" width="9.06640625" style="3"/>
  </cols>
  <sheetData>
    <row r="1" spans="1:8" ht="44" customHeight="1" x14ac:dyDescent="0.6">
      <c r="A1" s="1" t="s">
        <v>0</v>
      </c>
      <c r="B1" s="2"/>
      <c r="C1" s="2"/>
      <c r="D1" s="2"/>
      <c r="E1" s="2"/>
      <c r="F1" s="2"/>
      <c r="G1" s="2"/>
      <c r="H1" s="2"/>
    </row>
    <row r="2" spans="1:8" x14ac:dyDescent="0.35">
      <c r="A2" s="4" t="s">
        <v>1</v>
      </c>
      <c r="B2" s="5"/>
      <c r="C2" s="5"/>
      <c r="D2" s="5"/>
      <c r="E2" s="5"/>
      <c r="F2" s="5"/>
      <c r="G2" s="5"/>
      <c r="H2" s="5"/>
    </row>
    <row r="3" spans="1:8" ht="10.050000000000001" customHeight="1" x14ac:dyDescent="0.35"/>
    <row r="4" spans="1:8" ht="28.05" customHeight="1" x14ac:dyDescent="0.5">
      <c r="A4" s="6" t="s">
        <v>2</v>
      </c>
    </row>
    <row r="5" spans="1:8" ht="44" customHeight="1" x14ac:dyDescent="0.35">
      <c r="A5" s="7" t="s">
        <v>3</v>
      </c>
    </row>
    <row r="7" spans="1:8" ht="28.05" customHeight="1" x14ac:dyDescent="0.5">
      <c r="A7" s="6" t="s">
        <v>4</v>
      </c>
    </row>
    <row r="8" spans="1:8" ht="36" customHeight="1" x14ac:dyDescent="0.35">
      <c r="A8" s="7" t="s">
        <v>5</v>
      </c>
    </row>
    <row r="9" spans="1:8" ht="36" customHeight="1" x14ac:dyDescent="0.35">
      <c r="A9" s="8" t="s">
        <v>6</v>
      </c>
    </row>
    <row r="10" spans="1:8" ht="36" customHeight="1" x14ac:dyDescent="0.35">
      <c r="A10" s="7" t="s">
        <v>7</v>
      </c>
    </row>
    <row r="12" spans="1:8" ht="28.05" customHeight="1" x14ac:dyDescent="0.5">
      <c r="A12" s="9" t="s">
        <v>8</v>
      </c>
    </row>
    <row r="13" spans="1:8" ht="28.05" customHeight="1" x14ac:dyDescent="0.35">
      <c r="A13" s="10" t="s">
        <v>9</v>
      </c>
    </row>
    <row r="14" spans="1:8" ht="28.05" customHeight="1" x14ac:dyDescent="0.35">
      <c r="A14" s="10" t="s">
        <v>10</v>
      </c>
    </row>
    <row r="15" spans="1:8" ht="28.05" customHeight="1" x14ac:dyDescent="0.35">
      <c r="A15" s="10" t="s">
        <v>11</v>
      </c>
    </row>
    <row r="16" spans="1:8" ht="28.05" customHeight="1" x14ac:dyDescent="0.35">
      <c r="A16" s="10" t="s">
        <v>12</v>
      </c>
    </row>
    <row r="18" spans="1:1" ht="28.05" customHeight="1" x14ac:dyDescent="0.4">
      <c r="A18" s="11" t="s">
        <v>13</v>
      </c>
    </row>
    <row r="19" spans="1:1" ht="24" customHeight="1" x14ac:dyDescent="0.35">
      <c r="A19" s="7" t="s">
        <v>14</v>
      </c>
    </row>
    <row r="20" spans="1:1" ht="24" customHeight="1" x14ac:dyDescent="0.35">
      <c r="A20" s="8" t="s">
        <v>15</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3257B-213B-40F4-BF4B-315D218D04BF}">
  <sheetPr>
    <tabColor rgb="FFC9973A"/>
  </sheetPr>
  <dimension ref="A1:H37"/>
  <sheetViews>
    <sheetView workbookViewId="0">
      <selection sqref="A1:H1"/>
    </sheetView>
  </sheetViews>
  <sheetFormatPr defaultRowHeight="13.5" x14ac:dyDescent="0.35"/>
  <cols>
    <col min="1" max="1" width="38.1328125" style="3" bestFit="1" customWidth="1"/>
    <col min="2" max="2" width="10.33203125" style="3" bestFit="1" customWidth="1"/>
    <col min="3" max="3" width="13.19921875" style="3" bestFit="1" customWidth="1"/>
    <col min="4" max="4" width="18.59765625" style="3" customWidth="1"/>
    <col min="5" max="5" width="12.59765625" style="3" customWidth="1"/>
    <col min="6" max="6" width="30.3984375" style="3" bestFit="1" customWidth="1"/>
    <col min="7" max="16384" width="9.06640625" style="3"/>
  </cols>
  <sheetData>
    <row r="1" spans="1:8" ht="44" customHeight="1" x14ac:dyDescent="0.6">
      <c r="A1" s="12" t="s">
        <v>16</v>
      </c>
      <c r="B1" s="2"/>
      <c r="C1" s="2"/>
      <c r="D1" s="2"/>
      <c r="E1" s="2"/>
      <c r="F1" s="2"/>
      <c r="G1" s="2"/>
      <c r="H1" s="2"/>
    </row>
    <row r="2" spans="1:8" x14ac:dyDescent="0.35">
      <c r="A2" s="13" t="s">
        <v>17</v>
      </c>
      <c r="B2" s="5"/>
      <c r="C2" s="5"/>
      <c r="D2" s="5"/>
      <c r="E2" s="5"/>
      <c r="F2" s="5"/>
      <c r="G2" s="5"/>
      <c r="H2" s="5"/>
    </row>
    <row r="3" spans="1:8" ht="10.050000000000001" customHeight="1" x14ac:dyDescent="0.35"/>
    <row r="4" spans="1:8" ht="28.05" customHeight="1" x14ac:dyDescent="0.4">
      <c r="A4" s="14" t="s">
        <v>18</v>
      </c>
      <c r="B4" s="15"/>
      <c r="C4" s="15"/>
      <c r="D4" s="15"/>
      <c r="E4" s="15"/>
      <c r="F4" s="15"/>
    </row>
    <row r="5" spans="1:8" ht="20" customHeight="1" x14ac:dyDescent="0.35">
      <c r="A5" s="16" t="s">
        <v>19</v>
      </c>
      <c r="B5" s="17"/>
      <c r="C5" s="16" t="s">
        <v>21</v>
      </c>
      <c r="D5" s="17"/>
      <c r="E5" s="16" t="s">
        <v>23</v>
      </c>
      <c r="F5" s="18"/>
    </row>
    <row r="6" spans="1:8" ht="28.05" customHeight="1" x14ac:dyDescent="0.5">
      <c r="A6" s="19">
        <f>IF(B34&gt;0,(B34-C34)/B34,0)</f>
        <v>0.5624347084532566</v>
      </c>
      <c r="B6" s="20"/>
      <c r="C6" s="21">
        <f>D36</f>
        <v>94971600</v>
      </c>
      <c r="D6" s="22"/>
      <c r="E6" s="23">
        <f>'3.May Tich Luy'!C14</f>
        <v>7829263738.2852097</v>
      </c>
      <c r="F6" s="24"/>
    </row>
    <row r="7" spans="1:8" ht="20" customHeight="1" x14ac:dyDescent="0.35">
      <c r="A7" s="25" t="s">
        <v>20</v>
      </c>
      <c r="B7" s="26"/>
      <c r="C7" s="25" t="s">
        <v>22</v>
      </c>
      <c r="D7" s="26"/>
      <c r="E7" s="25" t="s">
        <v>24</v>
      </c>
      <c r="F7" s="27"/>
    </row>
    <row r="8" spans="1:8" ht="10.050000000000001" customHeight="1" x14ac:dyDescent="0.35"/>
    <row r="9" spans="1:8" ht="28.05" customHeight="1" x14ac:dyDescent="0.4">
      <c r="A9" s="14" t="s">
        <v>25</v>
      </c>
      <c r="B9" s="15"/>
      <c r="C9" s="15"/>
      <c r="D9" s="15"/>
      <c r="E9" s="15"/>
      <c r="F9" s="15"/>
    </row>
    <row r="10" spans="1:8" ht="24" customHeight="1" x14ac:dyDescent="0.4">
      <c r="A10" s="28" t="s">
        <v>26</v>
      </c>
      <c r="B10" s="29">
        <v>60000000</v>
      </c>
      <c r="F10" s="30" t="s">
        <v>27</v>
      </c>
      <c r="G10" s="31"/>
      <c r="H10" s="31"/>
    </row>
    <row r="11" spans="1:8" ht="24" customHeight="1" x14ac:dyDescent="0.4">
      <c r="A11" s="28" t="s">
        <v>28</v>
      </c>
      <c r="B11" s="32">
        <v>2</v>
      </c>
      <c r="F11" s="30" t="s">
        <v>29</v>
      </c>
      <c r="G11" s="31"/>
      <c r="H11" s="31"/>
    </row>
    <row r="12" spans="1:8" ht="24" customHeight="1" x14ac:dyDescent="0.4">
      <c r="A12" s="28" t="s">
        <v>30</v>
      </c>
      <c r="B12" s="29">
        <f>MIN(B10*0.105, 4914000)</f>
        <v>4914000</v>
      </c>
      <c r="F12" s="30" t="s">
        <v>31</v>
      </c>
      <c r="G12" s="31"/>
      <c r="H12" s="31"/>
    </row>
    <row r="13" spans="1:8" ht="24" customHeight="1" x14ac:dyDescent="0.4">
      <c r="A13" s="28" t="s">
        <v>32</v>
      </c>
      <c r="B13" s="29">
        <v>1000000</v>
      </c>
      <c r="F13" s="30" t="s">
        <v>33</v>
      </c>
      <c r="G13" s="31"/>
      <c r="H13" s="31"/>
    </row>
    <row r="14" spans="1:8" ht="24" customHeight="1" x14ac:dyDescent="0.4">
      <c r="A14" s="28" t="s">
        <v>34</v>
      </c>
      <c r="B14" s="33">
        <v>25000000</v>
      </c>
      <c r="F14" s="30" t="s">
        <v>35</v>
      </c>
      <c r="G14" s="31"/>
      <c r="H14" s="31"/>
    </row>
    <row r="16" spans="1:8" ht="28.05" customHeight="1" x14ac:dyDescent="0.4">
      <c r="A16" s="14" t="s">
        <v>36</v>
      </c>
      <c r="B16" s="15"/>
      <c r="C16" s="15"/>
      <c r="D16" s="15"/>
      <c r="E16" s="15"/>
      <c r="F16" s="15"/>
    </row>
    <row r="17" spans="1:8" ht="24" customHeight="1" x14ac:dyDescent="0.4">
      <c r="A17" s="28" t="s">
        <v>37</v>
      </c>
      <c r="B17" s="29">
        <v>1000000</v>
      </c>
      <c r="F17" s="30" t="s">
        <v>38</v>
      </c>
      <c r="G17" s="31"/>
      <c r="H17" s="31"/>
    </row>
    <row r="18" spans="1:8" ht="24" customHeight="1" x14ac:dyDescent="0.4">
      <c r="A18" s="28" t="s">
        <v>39</v>
      </c>
      <c r="B18" s="29">
        <v>3000000</v>
      </c>
      <c r="F18" s="30" t="s">
        <v>40</v>
      </c>
      <c r="G18" s="31"/>
      <c r="H18" s="31"/>
    </row>
    <row r="19" spans="1:8" ht="24" customHeight="1" x14ac:dyDescent="0.4">
      <c r="A19" s="28" t="s">
        <v>41</v>
      </c>
      <c r="B19" s="34" t="s">
        <v>43</v>
      </c>
      <c r="F19" s="30" t="s">
        <v>42</v>
      </c>
      <c r="G19" s="31"/>
      <c r="H19" s="31"/>
    </row>
    <row r="21" spans="1:8" ht="28.05" customHeight="1" x14ac:dyDescent="0.4">
      <c r="A21" s="14" t="s">
        <v>44</v>
      </c>
      <c r="B21" s="15"/>
      <c r="C21" s="15"/>
      <c r="D21" s="15"/>
      <c r="E21" s="15"/>
      <c r="F21" s="15"/>
    </row>
    <row r="22" spans="1:8" ht="24" customHeight="1" x14ac:dyDescent="0.4">
      <c r="A22" s="35" t="s">
        <v>45</v>
      </c>
      <c r="B22" s="36" t="s">
        <v>46</v>
      </c>
      <c r="C22" s="36" t="s">
        <v>47</v>
      </c>
      <c r="D22" s="37" t="s">
        <v>48</v>
      </c>
      <c r="E22" s="37"/>
      <c r="F22" s="38" t="s">
        <v>49</v>
      </c>
    </row>
    <row r="23" spans="1:8" ht="20" customHeight="1" x14ac:dyDescent="0.35">
      <c r="A23" s="39" t="s">
        <v>50</v>
      </c>
      <c r="B23" s="40">
        <f>B10</f>
        <v>60000000</v>
      </c>
      <c r="C23" s="40">
        <f>B10</f>
        <v>60000000</v>
      </c>
      <c r="D23" s="41">
        <f>B23-C23</f>
        <v>0</v>
      </c>
      <c r="E23" s="42"/>
      <c r="F23" s="43" t="s">
        <v>51</v>
      </c>
    </row>
    <row r="24" spans="1:8" ht="20" customHeight="1" x14ac:dyDescent="0.35">
      <c r="A24" s="44" t="s">
        <v>52</v>
      </c>
      <c r="B24" s="40">
        <f>B13</f>
        <v>1000000</v>
      </c>
      <c r="C24" s="40">
        <f>B13+B18</f>
        <v>4000000</v>
      </c>
      <c r="D24" s="41">
        <f>C24-B24</f>
        <v>3000000</v>
      </c>
      <c r="E24" s="42"/>
      <c r="F24" s="43" t="s">
        <v>53</v>
      </c>
    </row>
    <row r="25" spans="1:8" ht="20" customHeight="1" x14ac:dyDescent="0.35">
      <c r="A25" s="39" t="s">
        <v>54</v>
      </c>
      <c r="B25" s="40">
        <f>MAX(0,B23-B24)</f>
        <v>59000000</v>
      </c>
      <c r="C25" s="40">
        <f>MAX(0,C23-C24)</f>
        <v>56000000</v>
      </c>
      <c r="D25" s="41">
        <f>B25-C25</f>
        <v>3000000</v>
      </c>
      <c r="E25" s="42"/>
      <c r="F25" s="43" t="s">
        <v>55</v>
      </c>
    </row>
    <row r="26" spans="1:8" ht="20" customHeight="1" x14ac:dyDescent="0.35">
      <c r="A26" s="44" t="s">
        <v>56</v>
      </c>
      <c r="B26" s="40">
        <v>11000000</v>
      </c>
      <c r="C26" s="40">
        <v>11000000</v>
      </c>
      <c r="D26" s="41">
        <v>0</v>
      </c>
      <c r="E26" s="42"/>
      <c r="F26" s="43" t="s">
        <v>57</v>
      </c>
    </row>
    <row r="27" spans="1:8" ht="20" customHeight="1" x14ac:dyDescent="0.35">
      <c r="A27" s="44" t="s">
        <v>58</v>
      </c>
      <c r="B27" s="40">
        <f>B11*4400000</f>
        <v>8800000</v>
      </c>
      <c r="C27" s="40">
        <f>B11*4400000</f>
        <v>8800000</v>
      </c>
      <c r="D27" s="41">
        <v>0</v>
      </c>
      <c r="E27" s="42"/>
      <c r="F27" s="43" t="s">
        <v>59</v>
      </c>
    </row>
    <row r="28" spans="1:8" ht="20" customHeight="1" x14ac:dyDescent="0.35">
      <c r="A28" s="44" t="s">
        <v>60</v>
      </c>
      <c r="B28" s="40">
        <f>B12</f>
        <v>4914000</v>
      </c>
      <c r="C28" s="40">
        <f>B12</f>
        <v>4914000</v>
      </c>
      <c r="D28" s="41">
        <v>0</v>
      </c>
      <c r="E28" s="42"/>
      <c r="F28" s="43" t="s">
        <v>61</v>
      </c>
    </row>
    <row r="29" spans="1:8" ht="20" customHeight="1" x14ac:dyDescent="0.35">
      <c r="A29" s="44" t="s">
        <v>62</v>
      </c>
      <c r="B29" s="40">
        <v>0</v>
      </c>
      <c r="C29" s="40">
        <f>MIN(1000000,B17)</f>
        <v>1000000</v>
      </c>
      <c r="D29" s="41">
        <f>C29-B29</f>
        <v>1000000</v>
      </c>
      <c r="E29" s="42"/>
      <c r="F29" s="43" t="s">
        <v>63</v>
      </c>
    </row>
    <row r="30" spans="1:8" ht="20" customHeight="1" x14ac:dyDescent="0.35">
      <c r="A30" s="39" t="s">
        <v>64</v>
      </c>
      <c r="B30" s="40">
        <f>SUM(B26:B29)</f>
        <v>24714000</v>
      </c>
      <c r="C30" s="40">
        <f>SUM(C26:C29)</f>
        <v>25714000</v>
      </c>
      <c r="D30" s="41">
        <f>C30-B30</f>
        <v>1000000</v>
      </c>
      <c r="E30" s="42"/>
      <c r="F30" s="43" t="s">
        <v>65</v>
      </c>
    </row>
    <row r="31" spans="1:8" ht="20" customHeight="1" x14ac:dyDescent="0.35">
      <c r="A31" s="39" t="s">
        <v>66</v>
      </c>
      <c r="B31" s="40">
        <f>MAX(0,B25-B30)</f>
        <v>34286000</v>
      </c>
      <c r="C31" s="40">
        <f>MAX(0,C25-C30)</f>
        <v>30286000</v>
      </c>
      <c r="D31" s="41">
        <f>B31-C31</f>
        <v>4000000</v>
      </c>
      <c r="E31" s="42"/>
      <c r="F31" s="43" t="s">
        <v>67</v>
      </c>
    </row>
    <row r="32" spans="1:8" ht="22.05" customHeight="1" x14ac:dyDescent="0.4">
      <c r="A32" s="45" t="s">
        <v>68</v>
      </c>
      <c r="B32" s="46">
        <f>IF(B31&lt;=5000000,B31*0.05,IF(B31&lt;=10000000,B31*0.1-250000,IF(B31&lt;=18000000,B31*0.15-750000,IF(B31&lt;=32000000,B31*0.2-1650000,IF(B31&lt;=52000000,B31*0.25-3250000,IF(B31&lt;=80000000,B31*0.3-5850000,B31*0.35-9850000))))))</f>
        <v>5321500</v>
      </c>
      <c r="C32" s="46">
        <f>IF(C31&lt;=5000000,C31*0.05,IF(C31&lt;=10000000,C31*0.1-250000,IF(C31&lt;=18000000,C31*0.15-750000,IF(C31&lt;=32000000,C31*0.2-1650000,IF(C31&lt;=52000000,C31*0.25-3250000,IF(C31&lt;=80000000,C31*0.3-5850000,C31*0.35-9850000))))))</f>
        <v>4407200</v>
      </c>
      <c r="D32" s="47">
        <f>B32-C32</f>
        <v>914300</v>
      </c>
      <c r="E32" s="48"/>
      <c r="F32" s="43" t="s">
        <v>69</v>
      </c>
    </row>
    <row r="33" spans="1:6" ht="20" customHeight="1" x14ac:dyDescent="0.35">
      <c r="A33" s="44" t="s">
        <v>70</v>
      </c>
      <c r="B33" s="40">
        <f>B14*0.35</f>
        <v>8750000</v>
      </c>
      <c r="C33" s="40">
        <f>IF(B19="Co",B14*0.07,B14*0.35)</f>
        <v>1750000.0000000002</v>
      </c>
      <c r="D33" s="49">
        <f>B33-C33</f>
        <v>7000000</v>
      </c>
      <c r="E33" s="50"/>
      <c r="F33" s="43" t="s">
        <v>71</v>
      </c>
    </row>
    <row r="34" spans="1:6" ht="26" customHeight="1" thickBot="1" x14ac:dyDescent="0.45">
      <c r="A34" s="51" t="s">
        <v>72</v>
      </c>
      <c r="B34" s="52">
        <f>B32+B33</f>
        <v>14071500</v>
      </c>
      <c r="C34" s="52">
        <f>C32+C33</f>
        <v>6157200</v>
      </c>
      <c r="D34" s="53">
        <f>B34-C34</f>
        <v>7914300</v>
      </c>
      <c r="E34" s="54"/>
      <c r="F34" s="55" t="s">
        <v>73</v>
      </c>
    </row>
    <row r="35" spans="1:6" ht="13.9" thickTop="1" x14ac:dyDescent="0.35">
      <c r="B35" s="56"/>
      <c r="C35" s="56"/>
      <c r="D35" s="56"/>
    </row>
    <row r="36" spans="1:6" ht="32" customHeight="1" thickBot="1" x14ac:dyDescent="0.55000000000000004">
      <c r="A36" s="57" t="s">
        <v>74</v>
      </c>
      <c r="B36" s="58"/>
      <c r="C36" s="58"/>
      <c r="D36" s="59">
        <f>D34*12</f>
        <v>94971600</v>
      </c>
      <c r="E36" s="2"/>
      <c r="F36" s="2"/>
    </row>
    <row r="37" spans="1:6" ht="13.9" thickTop="1" x14ac:dyDescent="0.35"/>
  </sheetData>
  <mergeCells count="38">
    <mergeCell ref="D33:E33"/>
    <mergeCell ref="D34:E34"/>
    <mergeCell ref="A36:C36"/>
    <mergeCell ref="D36:F36"/>
    <mergeCell ref="D27:E27"/>
    <mergeCell ref="D28:E28"/>
    <mergeCell ref="D29:E29"/>
    <mergeCell ref="D30:E30"/>
    <mergeCell ref="D31:E31"/>
    <mergeCell ref="D32:E32"/>
    <mergeCell ref="A21:F21"/>
    <mergeCell ref="D22:E22"/>
    <mergeCell ref="D23:E23"/>
    <mergeCell ref="D24:E24"/>
    <mergeCell ref="D25:E25"/>
    <mergeCell ref="D26:E26"/>
    <mergeCell ref="F13:H13"/>
    <mergeCell ref="F14:H14"/>
    <mergeCell ref="A16:F16"/>
    <mergeCell ref="F17:H17"/>
    <mergeCell ref="F18:H18"/>
    <mergeCell ref="F19:H19"/>
    <mergeCell ref="E6:F6"/>
    <mergeCell ref="E7:F7"/>
    <mergeCell ref="A9:F9"/>
    <mergeCell ref="F10:H10"/>
    <mergeCell ref="F11:H11"/>
    <mergeCell ref="F12:H12"/>
    <mergeCell ref="A1:H1"/>
    <mergeCell ref="A2:H2"/>
    <mergeCell ref="A4:F4"/>
    <mergeCell ref="A5:B5"/>
    <mergeCell ref="A6:B6"/>
    <mergeCell ref="A7:B7"/>
    <mergeCell ref="C5:D5"/>
    <mergeCell ref="C6:D6"/>
    <mergeCell ref="C7:D7"/>
    <mergeCell ref="E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AE717-32ED-4BC5-A7B7-A9087AF637D1}">
  <sheetPr>
    <tabColor rgb="FF527D2E"/>
  </sheetPr>
  <dimension ref="A1:H33"/>
  <sheetViews>
    <sheetView workbookViewId="0">
      <selection sqref="A1:H1"/>
    </sheetView>
  </sheetViews>
  <sheetFormatPr defaultRowHeight="13.5" x14ac:dyDescent="0.35"/>
  <cols>
    <col min="1" max="1" width="36.73046875" style="3" bestFit="1" customWidth="1"/>
    <col min="2" max="2" width="31.46484375" style="3" bestFit="1" customWidth="1"/>
    <col min="3" max="3" width="19.59765625" style="3" bestFit="1" customWidth="1"/>
    <col min="4" max="4" width="13.19921875" style="3" bestFit="1" customWidth="1"/>
    <col min="5" max="5" width="11.33203125" style="3" bestFit="1" customWidth="1"/>
    <col min="6" max="6" width="22.59765625" style="3" customWidth="1"/>
    <col min="7" max="7" width="36.59765625" style="3" customWidth="1"/>
    <col min="8" max="16384" width="9.06640625" style="3"/>
  </cols>
  <sheetData>
    <row r="1" spans="1:8" ht="44" customHeight="1" x14ac:dyDescent="0.6">
      <c r="A1" s="60" t="s">
        <v>75</v>
      </c>
      <c r="B1" s="2"/>
      <c r="C1" s="2"/>
      <c r="D1" s="2"/>
      <c r="E1" s="2"/>
      <c r="F1" s="2"/>
      <c r="G1" s="2"/>
      <c r="H1" s="2"/>
    </row>
    <row r="2" spans="1:8" x14ac:dyDescent="0.35">
      <c r="A2" s="61" t="s">
        <v>76</v>
      </c>
      <c r="B2" s="5"/>
      <c r="C2" s="5"/>
      <c r="D2" s="5"/>
      <c r="E2" s="5"/>
      <c r="F2" s="5"/>
      <c r="G2" s="5"/>
      <c r="H2" s="5"/>
    </row>
    <row r="3" spans="1:8" ht="10.050000000000001" customHeight="1" x14ac:dyDescent="0.35"/>
    <row r="4" spans="1:8" ht="28.05" customHeight="1" x14ac:dyDescent="0.4">
      <c r="A4" s="14" t="s">
        <v>77</v>
      </c>
      <c r="B4" s="15"/>
      <c r="C4" s="15"/>
      <c r="D4" s="15"/>
      <c r="E4" s="15"/>
      <c r="F4" s="15"/>
      <c r="G4" s="15"/>
    </row>
    <row r="5" spans="1:8" ht="24" customHeight="1" x14ac:dyDescent="0.4">
      <c r="A5" s="28" t="s">
        <v>78</v>
      </c>
      <c r="B5" s="32">
        <v>35</v>
      </c>
      <c r="E5" s="30" t="s">
        <v>79</v>
      </c>
      <c r="F5" s="31"/>
    </row>
    <row r="6" spans="1:8" ht="24" customHeight="1" x14ac:dyDescent="0.4">
      <c r="A6" s="28" t="s">
        <v>80</v>
      </c>
      <c r="B6" s="32" t="s">
        <v>82</v>
      </c>
      <c r="E6" s="30" t="s">
        <v>81</v>
      </c>
      <c r="F6" s="31"/>
    </row>
    <row r="7" spans="1:8" ht="24" customHeight="1" x14ac:dyDescent="0.4">
      <c r="A7" s="28" t="s">
        <v>83</v>
      </c>
      <c r="B7" s="34">
        <v>15000000</v>
      </c>
      <c r="E7" s="30" t="s">
        <v>84</v>
      </c>
      <c r="F7" s="31"/>
    </row>
    <row r="9" spans="1:8" ht="28.05" customHeight="1" x14ac:dyDescent="0.4">
      <c r="A9" s="14" t="s">
        <v>85</v>
      </c>
      <c r="B9" s="15"/>
      <c r="C9" s="15"/>
      <c r="D9" s="15"/>
      <c r="E9" s="15"/>
      <c r="F9" s="15"/>
      <c r="G9" s="15"/>
    </row>
    <row r="10" spans="1:8" ht="22.05" customHeight="1" x14ac:dyDescent="0.4">
      <c r="A10" s="35" t="s">
        <v>86</v>
      </c>
      <c r="B10" s="36" t="s">
        <v>87</v>
      </c>
      <c r="C10" s="62" t="s">
        <v>88</v>
      </c>
      <c r="D10" s="63"/>
      <c r="E10" s="63"/>
      <c r="F10" s="63"/>
      <c r="G10" s="63"/>
    </row>
    <row r="11" spans="1:8" ht="22.05" customHeight="1" x14ac:dyDescent="0.4">
      <c r="A11" s="45" t="s">
        <v>89</v>
      </c>
      <c r="B11" s="64">
        <f>IF(B5&gt;=55,0.4,IF(B5&gt;=45,0.3,IF(B6="Thap",0.3,0.2)))</f>
        <v>0.2</v>
      </c>
      <c r="C11" s="65" t="s">
        <v>90</v>
      </c>
      <c r="D11" s="63"/>
      <c r="E11" s="63"/>
      <c r="F11" s="63"/>
      <c r="G11" s="63"/>
    </row>
    <row r="12" spans="1:8" ht="22.05" customHeight="1" x14ac:dyDescent="0.4">
      <c r="A12" s="45" t="s">
        <v>91</v>
      </c>
      <c r="B12" s="64">
        <f>1-B11-B13</f>
        <v>0.75</v>
      </c>
      <c r="C12" s="65" t="s">
        <v>92</v>
      </c>
      <c r="D12" s="63"/>
      <c r="E12" s="63"/>
      <c r="F12" s="63"/>
      <c r="G12" s="63"/>
    </row>
    <row r="13" spans="1:8" ht="22.05" customHeight="1" x14ac:dyDescent="0.4">
      <c r="A13" s="45" t="s">
        <v>93</v>
      </c>
      <c r="B13" s="64">
        <f>IF(B6="Thap",0,IF(B6="Trung Binh",0.05,0.1))</f>
        <v>0.05</v>
      </c>
      <c r="C13" s="65" t="s">
        <v>94</v>
      </c>
      <c r="D13" s="63"/>
      <c r="E13" s="63"/>
      <c r="F13" s="63"/>
      <c r="G13" s="63"/>
    </row>
    <row r="14" spans="1:8" ht="24" customHeight="1" thickBot="1" x14ac:dyDescent="0.45">
      <c r="A14" s="51" t="s">
        <v>95</v>
      </c>
      <c r="B14" s="66">
        <f>SUM(B11:B13)</f>
        <v>1</v>
      </c>
      <c r="C14" s="67" t="s">
        <v>96</v>
      </c>
      <c r="D14" s="63"/>
      <c r="E14" s="63"/>
      <c r="F14" s="63"/>
      <c r="G14" s="63"/>
    </row>
    <row r="15" spans="1:8" ht="13.9" thickTop="1" x14ac:dyDescent="0.35"/>
    <row r="16" spans="1:8" ht="28.05" customHeight="1" x14ac:dyDescent="0.4">
      <c r="A16" s="14" t="s">
        <v>97</v>
      </c>
      <c r="B16" s="15"/>
      <c r="C16" s="15"/>
      <c r="D16" s="15"/>
      <c r="E16" s="15"/>
      <c r="F16" s="15"/>
      <c r="G16" s="15"/>
    </row>
    <row r="17" spans="1:7" ht="22.05" customHeight="1" x14ac:dyDescent="0.4">
      <c r="A17" s="35" t="s">
        <v>98</v>
      </c>
      <c r="B17" s="35" t="s">
        <v>99</v>
      </c>
      <c r="C17" s="36" t="s">
        <v>100</v>
      </c>
      <c r="D17" s="62" t="s">
        <v>101</v>
      </c>
      <c r="E17" s="63"/>
      <c r="F17" s="63"/>
      <c r="G17" s="63"/>
    </row>
    <row r="18" spans="1:7" ht="22.05" customHeight="1" x14ac:dyDescent="0.4">
      <c r="A18" s="44" t="s">
        <v>102</v>
      </c>
      <c r="B18" s="44" t="s">
        <v>89</v>
      </c>
      <c r="C18" s="68">
        <v>50000000</v>
      </c>
      <c r="D18" s="69" t="s">
        <v>103</v>
      </c>
      <c r="E18" s="31"/>
      <c r="F18" s="31"/>
      <c r="G18" s="31"/>
    </row>
    <row r="19" spans="1:7" ht="22.05" customHeight="1" x14ac:dyDescent="0.4">
      <c r="A19" s="44" t="s">
        <v>104</v>
      </c>
      <c r="B19" s="44" t="s">
        <v>89</v>
      </c>
      <c r="C19" s="68">
        <v>100000000</v>
      </c>
      <c r="D19" s="69" t="s">
        <v>105</v>
      </c>
      <c r="E19" s="31"/>
      <c r="F19" s="31"/>
      <c r="G19" s="31"/>
    </row>
    <row r="20" spans="1:7" ht="22.05" customHeight="1" x14ac:dyDescent="0.4">
      <c r="A20" s="44" t="s">
        <v>106</v>
      </c>
      <c r="B20" s="44" t="s">
        <v>89</v>
      </c>
      <c r="C20" s="68">
        <v>30000000</v>
      </c>
      <c r="D20" s="69" t="s">
        <v>107</v>
      </c>
      <c r="E20" s="31"/>
      <c r="F20" s="31"/>
      <c r="G20" s="31"/>
    </row>
    <row r="21" spans="1:7" ht="22.05" customHeight="1" x14ac:dyDescent="0.4">
      <c r="A21" s="44" t="s">
        <v>108</v>
      </c>
      <c r="B21" s="44" t="s">
        <v>91</v>
      </c>
      <c r="C21" s="68">
        <v>200000000</v>
      </c>
      <c r="D21" s="69" t="s">
        <v>109</v>
      </c>
      <c r="E21" s="31"/>
      <c r="F21" s="31"/>
      <c r="G21" s="31"/>
    </row>
    <row r="22" spans="1:7" ht="22.05" customHeight="1" x14ac:dyDescent="0.4">
      <c r="A22" s="44" t="s">
        <v>110</v>
      </c>
      <c r="B22" s="44" t="s">
        <v>91</v>
      </c>
      <c r="C22" s="68">
        <v>1500000000</v>
      </c>
      <c r="D22" s="69" t="s">
        <v>111</v>
      </c>
      <c r="E22" s="31"/>
      <c r="F22" s="31"/>
      <c r="G22" s="31"/>
    </row>
    <row r="23" spans="1:7" ht="22.05" customHeight="1" x14ac:dyDescent="0.4">
      <c r="A23" s="44" t="s">
        <v>112</v>
      </c>
      <c r="B23" s="44" t="s">
        <v>93</v>
      </c>
      <c r="C23" s="68">
        <v>50000000</v>
      </c>
      <c r="D23" s="69" t="s">
        <v>113</v>
      </c>
      <c r="E23" s="31"/>
      <c r="F23" s="31"/>
      <c r="G23" s="31"/>
    </row>
    <row r="24" spans="1:7" ht="22.05" customHeight="1" x14ac:dyDescent="0.4">
      <c r="A24" s="44" t="s">
        <v>114</v>
      </c>
      <c r="B24" s="44" t="s">
        <v>93</v>
      </c>
      <c r="C24" s="68">
        <v>40000000</v>
      </c>
      <c r="D24" s="69" t="s">
        <v>115</v>
      </c>
      <c r="E24" s="31"/>
      <c r="F24" s="31"/>
      <c r="G24" s="31"/>
    </row>
    <row r="25" spans="1:7" ht="22.05" customHeight="1" x14ac:dyDescent="0.4">
      <c r="A25" s="44" t="s">
        <v>116</v>
      </c>
      <c r="B25" s="44" t="s">
        <v>93</v>
      </c>
      <c r="C25" s="70">
        <v>10000000</v>
      </c>
      <c r="D25" s="71" t="s">
        <v>117</v>
      </c>
      <c r="E25" s="31"/>
      <c r="F25" s="31"/>
      <c r="G25" s="31"/>
    </row>
    <row r="26" spans="1:7" ht="26" customHeight="1" thickBot="1" x14ac:dyDescent="0.45">
      <c r="A26" s="51" t="s">
        <v>118</v>
      </c>
      <c r="B26" s="72" t="s">
        <v>119</v>
      </c>
      <c r="C26" s="73">
        <f>SUM(C18:C25)</f>
        <v>1980000000</v>
      </c>
      <c r="D26" s="67" t="s">
        <v>120</v>
      </c>
      <c r="E26" s="63"/>
      <c r="F26" s="63"/>
      <c r="G26" s="63"/>
    </row>
    <row r="27" spans="1:7" ht="13.9" thickTop="1" x14ac:dyDescent="0.35">
      <c r="C27" s="56"/>
    </row>
    <row r="28" spans="1:7" ht="28.05" customHeight="1" x14ac:dyDescent="0.4">
      <c r="A28" s="14" t="s">
        <v>121</v>
      </c>
      <c r="B28" s="15"/>
      <c r="C28" s="15"/>
      <c r="D28" s="15"/>
      <c r="E28" s="15"/>
      <c r="F28" s="15"/>
      <c r="G28" s="15"/>
    </row>
    <row r="29" spans="1:7" ht="22.05" customHeight="1" x14ac:dyDescent="0.4">
      <c r="A29" s="35" t="s">
        <v>86</v>
      </c>
      <c r="B29" s="36" t="s">
        <v>122</v>
      </c>
      <c r="C29" s="36" t="s">
        <v>123</v>
      </c>
      <c r="D29" s="36" t="s">
        <v>124</v>
      </c>
      <c r="E29" s="36" t="s">
        <v>125</v>
      </c>
      <c r="F29" s="62" t="s">
        <v>126</v>
      </c>
      <c r="G29" s="63"/>
    </row>
    <row r="30" spans="1:7" ht="32" customHeight="1" x14ac:dyDescent="0.4">
      <c r="A30" s="39" t="s">
        <v>89</v>
      </c>
      <c r="B30" s="74">
        <f>D30/C26</f>
        <v>9.0909090909090912E-2</v>
      </c>
      <c r="C30" s="74">
        <f>B11</f>
        <v>0.2</v>
      </c>
      <c r="D30" s="46">
        <f>SUMIF(B18:B25,A30,C18:C25)</f>
        <v>180000000</v>
      </c>
      <c r="E30" s="75">
        <f>B30-C30</f>
        <v>-0.1090909090909091</v>
      </c>
      <c r="F30" s="76" t="str">
        <f>IF(E30&gt;0.05,"Đang THỪA — Hãy trích tiền thặng dư tiếp theo vào Tích Sản",IF(E30&lt;-0.05,"Đang THIẾU 🔴 — Ưu tiên bổ sung phòng thủ trước khi đầu tru rủi ro","Đạt trạng thái cân bằng tốt"))</f>
        <v>Đang THIẾU 🔴 — Ưu tiên bổ sung phòng thủ trước khi đầu tru rủi ro</v>
      </c>
      <c r="G30" s="77"/>
    </row>
    <row r="31" spans="1:7" ht="32" customHeight="1" x14ac:dyDescent="0.4">
      <c r="A31" s="39" t="s">
        <v>91</v>
      </c>
      <c r="B31" s="74">
        <f>D31/C26</f>
        <v>0.85858585858585856</v>
      </c>
      <c r="C31" s="74">
        <f>B12</f>
        <v>0.75</v>
      </c>
      <c r="D31" s="46">
        <f>SUMIF(B18:B25,A31,C18:C25)</f>
        <v>1700000000</v>
      </c>
      <c r="E31" s="75">
        <f>B31-C31</f>
        <v>0.10858585858585856</v>
      </c>
      <c r="F31" s="76" t="str">
        <f>IF(E31&gt;0.05,"Đang THỪA — Có thể giữ vững hoặc cơ cấu bớt BĐS/CCQ cổ phiếu",IF(E31&lt;-0.05,"Đang THIẾU 🔴 — Hãy tăng tỷ lệ DCA mua Chứng chỉ quỹ cổ phiếu mở","Đạt trạng thái cân bằng tốt"))</f>
        <v>Đang THỪA — Có thể giữ vững hoặc cơ cấu bớt BĐS/CCQ cổ phiếu</v>
      </c>
      <c r="G31" s="77"/>
    </row>
    <row r="32" spans="1:7" ht="32" customHeight="1" thickBot="1" x14ac:dyDescent="0.45">
      <c r="A32" s="78" t="s">
        <v>93</v>
      </c>
      <c r="B32" s="79">
        <f>D32/C26</f>
        <v>5.0505050505050504E-2</v>
      </c>
      <c r="C32" s="79">
        <f>B13</f>
        <v>0.05</v>
      </c>
      <c r="D32" s="80">
        <f>SUMIF(B18:B25,A32,C18:C25)</f>
        <v>100000000</v>
      </c>
      <c r="E32" s="81">
        <f>B32-C32</f>
        <v>5.0505050505050136E-4</v>
      </c>
      <c r="F32" s="76" t="str">
        <f>IF(E32&gt;0.05,"Vượt trần rủi ro 🔴 — Cần chốt lời đưa dòng tiền về lớp Tích Sản",IF(E32&lt;-0.05,"Có thể bổ sung thêm nếu khẩu vị phù hợp và hiểu rõ sản phẩm","Đạt trạng thái cân bằng tốt"))</f>
        <v>Đạt trạng thái cân bằng tốt</v>
      </c>
      <c r="G32" s="77"/>
    </row>
    <row r="33" s="3" customFormat="1" ht="13.9" thickTop="1" x14ac:dyDescent="0.35"/>
  </sheetData>
  <mergeCells count="28">
    <mergeCell ref="F29:G29"/>
    <mergeCell ref="F30:G30"/>
    <mergeCell ref="F31:G31"/>
    <mergeCell ref="F32:G32"/>
    <mergeCell ref="D22:G22"/>
    <mergeCell ref="D23:G23"/>
    <mergeCell ref="D24:G24"/>
    <mergeCell ref="D25:G25"/>
    <mergeCell ref="D26:G26"/>
    <mergeCell ref="A28:G28"/>
    <mergeCell ref="A16:G16"/>
    <mergeCell ref="D17:G17"/>
    <mergeCell ref="D18:G18"/>
    <mergeCell ref="D19:G19"/>
    <mergeCell ref="D20:G20"/>
    <mergeCell ref="D21:G21"/>
    <mergeCell ref="A9:G9"/>
    <mergeCell ref="C10:G10"/>
    <mergeCell ref="C11:G11"/>
    <mergeCell ref="C12:G12"/>
    <mergeCell ref="C13:G13"/>
    <mergeCell ref="C14:G14"/>
    <mergeCell ref="A1:H1"/>
    <mergeCell ref="A2:H2"/>
    <mergeCell ref="A4:G4"/>
    <mergeCell ref="E5:F5"/>
    <mergeCell ref="E6:F6"/>
    <mergeCell ref="E7:F7"/>
  </mergeCells>
  <conditionalFormatting sqref="E30:E32">
    <cfRule type="cellIs" dxfId="2" priority="1" stopIfTrue="1" operator="between">
      <formula>-0.05</formula>
      <formula>0.05</formula>
    </cfRule>
    <cfRule type="cellIs" dxfId="1" priority="2" stopIfTrue="1" operator="lessThan">
      <formula>-0.05</formula>
    </cfRule>
    <cfRule type="cellIs" dxfId="0" priority="3" stopIfTrue="1" operator="greaterThan">
      <formula>0.05</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AFC8-EAEC-48E8-BCC6-4B43FC6A918C}">
  <sheetPr>
    <tabColor rgb="FFC0392B"/>
  </sheetPr>
  <dimension ref="A1:H15"/>
  <sheetViews>
    <sheetView workbookViewId="0">
      <selection sqref="A1:H1"/>
    </sheetView>
  </sheetViews>
  <sheetFormatPr defaultRowHeight="13.5" x14ac:dyDescent="0.35"/>
  <cols>
    <col min="1" max="1" width="50.46484375" style="3" bestFit="1" customWidth="1"/>
    <col min="2" max="2" width="18.73046875" style="3" bestFit="1" customWidth="1"/>
    <col min="3" max="3" width="29.73046875" style="3" bestFit="1" customWidth="1"/>
    <col min="4" max="4" width="42.6640625" style="3" bestFit="1" customWidth="1"/>
    <col min="5" max="16384" width="9.06640625" style="3"/>
  </cols>
  <sheetData>
    <row r="1" spans="1:8" ht="44" customHeight="1" x14ac:dyDescent="0.6">
      <c r="A1" s="82" t="s">
        <v>127</v>
      </c>
      <c r="B1" s="2"/>
      <c r="C1" s="2"/>
      <c r="D1" s="2"/>
      <c r="E1" s="2"/>
      <c r="F1" s="2"/>
      <c r="G1" s="2"/>
      <c r="H1" s="2"/>
    </row>
    <row r="2" spans="1:8" x14ac:dyDescent="0.35">
      <c r="A2" s="83" t="s">
        <v>128</v>
      </c>
      <c r="B2" s="5"/>
      <c r="C2" s="5"/>
      <c r="D2" s="5"/>
      <c r="E2" s="5"/>
      <c r="F2" s="5"/>
      <c r="G2" s="5"/>
      <c r="H2" s="5"/>
    </row>
    <row r="3" spans="1:8" ht="10.050000000000001" customHeight="1" x14ac:dyDescent="0.35"/>
    <row r="4" spans="1:8" ht="28.05" customHeight="1" x14ac:dyDescent="0.4">
      <c r="A4" s="14" t="s">
        <v>129</v>
      </c>
      <c r="B4" s="15"/>
      <c r="C4" s="15"/>
      <c r="D4" s="15"/>
    </row>
    <row r="5" spans="1:8" ht="24" customHeight="1" x14ac:dyDescent="0.4">
      <c r="A5" s="28" t="s">
        <v>130</v>
      </c>
      <c r="B5" s="29">
        <v>15000000</v>
      </c>
      <c r="D5" s="84" t="s">
        <v>131</v>
      </c>
    </row>
    <row r="6" spans="1:8" ht="24" customHeight="1" x14ac:dyDescent="0.4">
      <c r="A6" s="28" t="s">
        <v>132</v>
      </c>
      <c r="B6" s="29">
        <f>'1.Toi Uu Thue'!D34</f>
        <v>7914300</v>
      </c>
      <c r="D6" s="84" t="s">
        <v>133</v>
      </c>
    </row>
    <row r="7" spans="1:8" ht="24" customHeight="1" x14ac:dyDescent="0.4">
      <c r="A7" s="28" t="s">
        <v>134</v>
      </c>
      <c r="B7" s="85">
        <v>0.12</v>
      </c>
      <c r="D7" s="84" t="s">
        <v>135</v>
      </c>
    </row>
    <row r="8" spans="1:8" ht="24" customHeight="1" x14ac:dyDescent="0.4">
      <c r="A8" s="28" t="s">
        <v>136</v>
      </c>
      <c r="B8" s="86">
        <v>20</v>
      </c>
      <c r="D8" s="84" t="s">
        <v>137</v>
      </c>
    </row>
    <row r="10" spans="1:8" ht="28.05" customHeight="1" x14ac:dyDescent="0.4">
      <c r="A10" s="14" t="s">
        <v>138</v>
      </c>
      <c r="B10" s="15"/>
      <c r="C10" s="15"/>
      <c r="D10" s="15"/>
    </row>
    <row r="11" spans="1:8" ht="22.05" customHeight="1" x14ac:dyDescent="0.4">
      <c r="A11" s="35" t="s">
        <v>139</v>
      </c>
      <c r="B11" s="36" t="s">
        <v>140</v>
      </c>
      <c r="C11" s="36" t="s">
        <v>141</v>
      </c>
      <c r="D11" s="87" t="s">
        <v>142</v>
      </c>
    </row>
    <row r="12" spans="1:8" ht="22.05" customHeight="1" x14ac:dyDescent="0.4">
      <c r="A12" s="39" t="s">
        <v>143</v>
      </c>
      <c r="B12" s="46">
        <f>B5</f>
        <v>15000000</v>
      </c>
      <c r="C12" s="88">
        <f>FV(B$7/12,B$8*12,-B12,0,0)</f>
        <v>14838830480.810444</v>
      </c>
      <c r="D12" s="43" t="s">
        <v>144</v>
      </c>
    </row>
    <row r="13" spans="1:8" ht="22.05" customHeight="1" x14ac:dyDescent="0.4">
      <c r="A13" s="39" t="s">
        <v>145</v>
      </c>
      <c r="B13" s="46">
        <f>B5+B6</f>
        <v>22914300</v>
      </c>
      <c r="C13" s="89">
        <f>FV(B$7/12,B$8*12,-B13,0,0)</f>
        <v>22668094219.095654</v>
      </c>
      <c r="D13" s="43" t="s">
        <v>146</v>
      </c>
    </row>
    <row r="14" spans="1:8" ht="26" customHeight="1" thickBot="1" x14ac:dyDescent="0.45">
      <c r="A14" s="90" t="s">
        <v>147</v>
      </c>
      <c r="B14" s="91">
        <f>B6</f>
        <v>7914300</v>
      </c>
      <c r="C14" s="92">
        <f>C13-C12</f>
        <v>7829263738.2852097</v>
      </c>
      <c r="D14" s="43" t="s">
        <v>148</v>
      </c>
    </row>
    <row r="15" spans="1:8" ht="13.9" thickTop="1" x14ac:dyDescent="0.35"/>
  </sheetData>
  <mergeCells count="4">
    <mergeCell ref="A1:H1"/>
    <mergeCell ref="A2:H2"/>
    <mergeCell ref="A4:D4"/>
    <mergeCell ref="A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0.Huong Dan</vt:lpstr>
      <vt:lpstr>1.Toi Uu Thue</vt:lpstr>
      <vt:lpstr>2.Phan Bo</vt:lpstr>
      <vt:lpstr>3.May Tich Luy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Surface</cp:lastModifiedBy>
  <dcterms:created xsi:type="dcterms:W3CDTF">2026-05-25T09:14:17Z</dcterms:created>
  <dcterms:modified xsi:type="dcterms:W3CDTF">2026-05-25T09:14:22Z</dcterms:modified>
</cp:coreProperties>
</file>