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Projects in Claude\nguyenngocung.com\"/>
    </mc:Choice>
  </mc:AlternateContent>
  <xr:revisionPtr revIDLastSave="0" documentId="8_{D5FA4062-6EDC-45F4-9866-BB77590412E4}" xr6:coauthVersionLast="47" xr6:coauthVersionMax="47" xr10:uidLastSave="{00000000-0000-0000-0000-000000000000}"/>
  <bookViews>
    <workbookView xWindow="-98" yWindow="-98" windowWidth="21795" windowHeight="13996" xr2:uid="{18FB728F-2507-4861-AB11-7AE2F85A3ABE}"/>
  </bookViews>
  <sheets>
    <sheet name="0.Huong Dan" sheetId="1" r:id="rId1"/>
    <sheet name="1.Khau Hao &amp; Thue" sheetId="2" r:id="rId2"/>
    <sheet name="2.Runway &amp; Stress Test" sheetId="3" r:id="rId3"/>
    <sheet name="3.Phan Bo 3 Lop" sheetId="4" r:id="rId4"/>
    <sheet name="4.Lo Trinh FIRE"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8" i="5" l="1"/>
  <c r="E6" i="2" s="1"/>
  <c r="C28" i="5"/>
  <c r="B28" i="5"/>
  <c r="D27" i="5"/>
  <c r="C27" i="5"/>
  <c r="B27" i="5"/>
  <c r="D26" i="5"/>
  <c r="C26" i="5"/>
  <c r="B26" i="5"/>
  <c r="D25" i="5"/>
  <c r="C25" i="5"/>
  <c r="B25" i="5"/>
  <c r="D24" i="5"/>
  <c r="C24" i="5"/>
  <c r="B24" i="5"/>
  <c r="D23" i="5"/>
  <c r="C23" i="5"/>
  <c r="B23" i="5"/>
  <c r="D22" i="5"/>
  <c r="C22" i="5"/>
  <c r="B22" i="5"/>
  <c r="D21" i="5"/>
  <c r="C21" i="5"/>
  <c r="B21" i="5"/>
  <c r="D20" i="5"/>
  <c r="C20" i="5"/>
  <c r="B20" i="5"/>
  <c r="D19" i="5"/>
  <c r="C19" i="5"/>
  <c r="B19" i="5"/>
  <c r="D18" i="5"/>
  <c r="C18" i="5"/>
  <c r="B18" i="5"/>
  <c r="D17" i="5"/>
  <c r="C17" i="5"/>
  <c r="B17" i="5"/>
  <c r="C13" i="5"/>
  <c r="B13" i="5"/>
  <c r="C12" i="5"/>
  <c r="B12" i="5"/>
  <c r="B6" i="5"/>
  <c r="F30" i="4"/>
  <c r="E30" i="4"/>
  <c r="D30" i="4"/>
  <c r="B30" i="4" s="1"/>
  <c r="C30" i="4"/>
  <c r="F29" i="4"/>
  <c r="E29" i="4"/>
  <c r="D29" i="4"/>
  <c r="B29" i="4" s="1"/>
  <c r="C29" i="4"/>
  <c r="F28" i="4"/>
  <c r="E28" i="4"/>
  <c r="D28" i="4"/>
  <c r="B28" i="4" s="1"/>
  <c r="C28" i="4"/>
  <c r="C24" i="4"/>
  <c r="B12" i="4"/>
  <c r="B11" i="4"/>
  <c r="B10" i="4"/>
  <c r="C20" i="3"/>
  <c r="B20" i="3"/>
  <c r="B19" i="3"/>
  <c r="C6" i="3" s="1"/>
  <c r="B18" i="3"/>
  <c r="B17" i="3"/>
  <c r="A6" i="3" s="1"/>
  <c r="E25" i="2"/>
  <c r="D25" i="2"/>
  <c r="C25" i="2"/>
  <c r="B25" i="2"/>
  <c r="E24" i="2"/>
  <c r="D24" i="2"/>
  <c r="C24" i="2"/>
  <c r="B24" i="2"/>
  <c r="D22" i="2"/>
  <c r="C22" i="2"/>
  <c r="B22" i="2"/>
  <c r="E21" i="2"/>
  <c r="D21" i="2"/>
  <c r="C21" i="2"/>
  <c r="E20" i="2"/>
  <c r="D20" i="2"/>
  <c r="C20" i="2"/>
  <c r="E19" i="2"/>
  <c r="D19" i="2"/>
  <c r="C19" i="2"/>
  <c r="D18" i="2"/>
  <c r="C18" i="2"/>
  <c r="B18" i="2"/>
  <c r="C6" i="2" l="1"/>
  <c r="A6" i="2"/>
</calcChain>
</file>

<file path=xl/sharedStrings.xml><?xml version="1.0" encoding="utf-8"?>
<sst xmlns="http://schemas.openxmlformats.org/spreadsheetml/2006/main" count="157" uniqueCount="147">
  <si>
    <t>BẢN ĐỒ TỐI ƯU TÀI CHÍNH DÀNH CHO BÁC SĨ &amp; CHỦ PHÒNG KHÁM</t>
  </si>
  <si>
    <t>Công cụ Tính toán Khấu hao Thiết bị y tế, Lá chắn Thuế và Stress-test Runway Vận hành</t>
  </si>
  <si>
    <t>GIỚI THIỆU: HỆ THỐNG PHÁC ĐỒ TÀI CHÍNH Y KHOA</t>
  </si>
  <si>
    <t>Chào Bác sĩ, Dược sĩ và Chủ phòng khám. Bảng tính này được xây dựng như một công cụ thiết thực để giúp các chuyên gia Y tế rà soát sổ sách thuế phòng khám, tối ưu hóa lá chắn thuế từ máy móc thiết bị y tế đắt đỏ và cách ly gia sản gia đình khỏi rủi ro lâm sàng/sự cố y khoa. Hãy dành ít phút điền các dữ liệu thực tế để thiết lập hệ thống phòng vệ tài chính vững chãi.</t>
  </si>
  <si>
    <t>CẤU TRÚC HỆ THỐNG</t>
  </si>
  <si>
    <t>[1]  Tab 1: Khau Hao &amp; Thue    →   So sánh chi tiết nghĩa vụ thuế phẳng của Hộ kinh doanh (7% doanh thu dịch vụ) so với cấu trúc Doanh nghiệp TNHH áp dụng lá chắn thuế khấu hao thiết bị y tế đầu vào (được trừ thuế TNDN 20%).</t>
  </si>
  <si>
    <t>[2]  Tab 2: Runway &amp; Stress  →   Stress-test thời gian sinh tồn tài chính của phòng khám khi gặp sự cố lâm sàng hoặc gián đoạn hoạt động. Đo lường rủi ro tự bồi thường (Malpractice Net Exposure) so với hạn mức bảo hiểm trách nhiệm.</t>
  </si>
  <si>
    <t>[3]  Tab 3: Phan Bo 3 Lop    →   Đo lường sự sai lệch giữa danh mục tài sản thực tế của gia đình bác sĩ so với khuyến nghị cấu trúc 3 lớp bảo vệ (🛡️ Phòng Thủ, 📈 Tích Sản, 🚀 Cơ Hội). Có tích hợp biểu đồ rebalance trực quan.</t>
  </si>
  <si>
    <t>[4]  Tab 4: Lo Trinh FIRE    →   Mô phỏng lộ trình tự do tài chính dài hạn (Lean FIRE &amp; Fat FIRE). Dự báo số tiền tích lũy lãi kép vượt trội sau 20 năm khi tái đầu tư toàn bộ số thuế tiết kiệm được từ thiết bị y tế.</t>
  </si>
  <si>
    <t>HƯỚNG DẪN SỬ DỤNG</t>
  </si>
  <si>
    <t>✔  Hãy điền dữ liệu đầu vào vào các ô màu vàng nhạt (ô có viền và nền vàng nhạt).</t>
  </si>
  <si>
    <t>✔  Các ô màu khác chứa công thức tự động tính toán, vui lòng không sửa đổi công thức.</t>
  </si>
  <si>
    <t>✔  Toàn bộ dữ liệu được lưu trữ offline trên máy tính của bạn, đảm bảo tính riêng tư tuyệt đối.</t>
  </si>
  <si>
    <t>✔  Sau khi nhập xong, hãy quét mã QR/Zalo ở chân trang để đặt lịch hẹn rà soát chi tiết cùng Cố vấn Nguyễn Ngọc Ưng.</t>
  </si>
  <si>
    <t>THÔNG TIN CỐ VẤN ĐỒNG HÀNH</t>
  </si>
  <si>
    <t>Nguyễn Ngọc Ưng · Học viên Hoạch định Tài chính (Được hỗ trợ &amp; giám sát chuyên môn bởi Đội ngũ Chuyên gia FIDT)</t>
  </si>
  <si>
    <t>Zalo: 0826814678 · Website: www.nguyenngocung.com · Đặt hẹn tư vấn FHC: https://cal.com/ngocung-fidt/fhc-1on1</t>
  </si>
  <si>
    <t>PHẦN 1 — TỐI ƯU HÓA LÁ CHẮN THUẾ THIẾT BỊ Y TẾ</t>
  </si>
  <si>
    <t>So sánh trực tiếp Thuế khoán Hộ kinh doanh vs. Khấu hao Doanh nghiệp TNHH</t>
  </si>
  <si>
    <t>⚡  BẢNG CHỈ SỐ TỐI ƯU LÁ CHẮN THUẾ</t>
  </si>
  <si>
    <t>THUẾ TIẾT KIỆM HÀNG NĂM</t>
  </si>
  <si>
    <t>Vá lỗ rò rỉ thuế phẳng</t>
  </si>
  <si>
    <t>LÁ CHẮN THUẾ TRỌN ĐỜI</t>
  </si>
  <si>
    <t>Tổng tiết kiệm chu kỳ khấu hao</t>
  </si>
  <si>
    <t>TÀI SẢN TÍCH LŨY (20 NĂM)</t>
  </si>
  <si>
    <t>Tái đầu tư tích lũy lãi kép 12%</t>
  </si>
  <si>
    <t>🏥  BƯỚC 1: NHẬP DỮ LIỆU ĐẦU VÀO PHÒNG KHÁM / THIẾT BỊ</t>
  </si>
  <si>
    <t>Doanh thu phòng khám ước tính hàng năm (VND)</t>
  </si>
  <si>
    <t>* Tổng doanh thu y khoa thu về từ hoạt động dịch vụ/khám</t>
  </si>
  <si>
    <t>Tổng giá trị thiết bị y tế đầu tư (VND)</t>
  </si>
  <si>
    <t>* Máy siêu âm, ghế nha khoa, laser thẩm mỹ... (Có hóa đơn đầu vào)</t>
  </si>
  <si>
    <t>Thời gian trích khấu hao (Số năm)</t>
  </si>
  <si>
    <t>* Khung quy định của Bộ Tài chính đối với thiết bị y tế (5 - 8 năm)</t>
  </si>
  <si>
    <t>Tỷ lệ chi phí vận hành khác (% doanh thu)</t>
  </si>
  <si>
    <t>* Mặt bằng, lương y tá, dược phẩm tiêu hao... (Ước tính khoảng 60%)</t>
  </si>
  <si>
    <t>📊  BƯỚC 2: BẢNG ĐỐI CHIẾU NGHĨA VỤ THUẾ CẤU TRÚC DOANH NGHIỆP</t>
  </si>
  <si>
    <t>Chỉ số so sánh dòng tiền</t>
  </si>
  <si>
    <t>Hộ kinh doanh khoán (7%)</t>
  </si>
  <si>
    <t>Doanh nghiệp TNHH (CIT 20%)</t>
  </si>
  <si>
    <t>Lợi thế tối ưu (VND)</t>
  </si>
  <si>
    <t>Doanh thu phòng khám/năm</t>
  </si>
  <si>
    <t>Chi phí khấu hao thiết bị y tế/năm</t>
  </si>
  <si>
    <t>Chi phí vận hành hợp lý khác/năm</t>
  </si>
  <si>
    <t>Tổng chi phí hợp lý được trừ thuế</t>
  </si>
  <si>
    <t>Thu nhập chịu thuế (Doanh thu - Chi phí)</t>
  </si>
  <si>
    <t>Thuế suất quy định áp dụng</t>
  </si>
  <si>
    <t>Thuế phải nộp hàng năm (VAT &amp; PIT / CIT)</t>
  </si>
  <si>
    <t>Dòng tiền giữ lại/năm (Doanh thu - Thuế)</t>
  </si>
  <si>
    <t>PHẦN 2 — STRESS-TEST RUNWAY PHÒNG KHÁM &amp; AN TOÀN Y KHOA</t>
  </si>
  <si>
    <t>Đo lường thời gian sinh tồn tài chính và mức độ che phủ rủi ro bồi thường y khoa</t>
  </si>
  <si>
    <t>🚨  BẢNG CHỈ SỐ CẢNH BÁO TÀI CHÍNH LÂM SÀNG</t>
  </si>
  <si>
    <t>RUNWAY SINH TỒN</t>
  </si>
  <si>
    <t>Mức đệm tiền mặt (Tháng)</t>
  </si>
  <si>
    <t>RỦI RO TỰ BỒI THƯỜNG</t>
  </si>
  <si>
    <t>Thiếu hụt bảo hiểm trách nhiệm</t>
  </si>
  <si>
    <t>📝  BƯỚC 1: NHẬP CONFIG HẠ TẦNG DỰ PHÒNG PHÒNG KHÁM</t>
  </si>
  <si>
    <t>Quỹ dự phòng mặt bằng &amp; y tế hiện có (VND)</t>
  </si>
  <si>
    <t>* Tiền mặt, sổ tiết kiệm ngắn hạn sẵn sàng thanh khoản cứu nguy</t>
  </si>
  <si>
    <t>Chi phí vận hành phòng khám hàng tháng (VND)</t>
  </si>
  <si>
    <t>* Lương phụ tá, y tá, thuê mặt bằng cố định, công nợ dược phẩm</t>
  </si>
  <si>
    <t>Hạn mức Bảo hiểm trách nhiệm nghề nghiệp y khoa</t>
  </si>
  <si>
    <t>* Mức bồi thường tối đa công ty bảo hiểm chi trả cho bác sĩ/năm</t>
  </si>
  <si>
    <t>Mức đền bù ước tính khi xảy ra sự cố lớn (VND)</t>
  </si>
  <si>
    <t>* Chi phí bồi thường và xử lý khủng hoảng y khoa/khiếu nại lâm sàng</t>
  </si>
  <si>
    <t>📊  BƯỚC 2: CHẨN ĐOÁN RUNWAY VÀ VÁCH NGĂN BẢO VỆ GIA SẢN</t>
  </si>
  <si>
    <t>Hạng mục chẩn đoán</t>
  </si>
  <si>
    <t>Giá trị tính toán</t>
  </si>
  <si>
    <t>Khuyến nghị từ phác đồ tài chính y khoa</t>
  </si>
  <si>
    <t>Runway sinh tồn phòng khám (Tháng)</t>
  </si>
  <si>
    <t>Chuẩn an toàn hoạt động lâm sàng là tối thiểu 6-12 tháng.</t>
  </si>
  <si>
    <t>Đánh giá trạng thái Runway</t>
  </si>
  <si>
    <t>Dưới 4 tháng: Nguy cơ cạn tiền khi bị đình chỉ giấy phép hoặc sự cố ngắn hạn.</t>
  </si>
  <si>
    <t>Rủi ro tự gánh chịu (Malpractice Net Exposure)</t>
  </si>
  <si>
    <t>Số tiền bác sĩ phải tự bỏ túi cá nhân ra đền bù sau khi trừ bảo hiểm.</t>
  </si>
  <si>
    <t>Đánh giá Vách ngăn Bảo vệ tài sản gia đình</t>
  </si>
  <si>
    <t>PHẦN 3 — BẢN ĐỒ CẤU TRÚC 3 LỚP TÀI SẢN PHÒNG VỆ GIA ĐÌNH</t>
  </si>
  <si>
    <t>Phân bổ thặng dư thu nhập cao của bác sĩ để cô lập rủi ro và tăng trưởng 0-CPU</t>
  </si>
  <si>
    <t>⚙️  BƯỚC 1: NHẬP THÔNG TIN CẤU HÌNH PHÂN BỔ</t>
  </si>
  <si>
    <t>Tuổi của Bác sĩ / Dược sĩ hiện tại</t>
  </si>
  <si>
    <t>* Dùng để tự động tính tỷ lệ phân bổ lớp tài sản phù hợp</t>
  </si>
  <si>
    <t>Khẩu vị chịu rủi ro đầu tư dài hạn</t>
  </si>
  <si>
    <t>* Chọn: Thap (Thận trọng), Trung Binh (Cân bằng), Cao (Tăng trưởng)</t>
  </si>
  <si>
    <t>Trung Binh</t>
  </si>
  <si>
    <t>🛡️  BƯỚC 2: TỶ LỆ KHUYẾN NGHỊ TỰ ĐỘNG CHO BÁC SĨ (TỶ LỆ DEFENSE CAO)</t>
  </si>
  <si>
    <t>Lớp tài sản khuyến nghị</t>
  </si>
  <si>
    <t>Tỷ lệ phân bổ mục tiêu (%)</t>
  </si>
  <si>
    <t>Vai trò chiến lược trong hệ thống gia sản bác sĩ</t>
  </si>
  <si>
    <t>🛡️ Lớp Phòng Thủ (Core System)</t>
  </si>
  <si>
    <t>Bảo vệ gia đình khỏi rủi ro y khoa lâm sàng, cạn kiệt thanh khoản phòng mạch.</t>
  </si>
  <si>
    <t>📈 Lớp Tích Sản (Scaled Production)</t>
  </si>
  <si>
    <t>DCA tự động vào rổ Quỹ mở cổ phiếu/ETF 0-CPU để tận dụng sức mạnh tăng trưởng vĩ mô.</t>
  </si>
  <si>
    <t>🚀 Lớp Cơ Hội (Experimental Sandbox)</t>
  </si>
  <si>
    <t>Đầu tư bất động sản dự án lớn, hùn vốn mở thêm phòng mạch với đồng nghiệp. Giới hạn &lt; 10%.</t>
  </si>
  <si>
    <t>🏦  BƯỚC 3: CHI TIẾT TÀI SẢN THỰC TẾ HIỆN TẠI DƯỚI DẠNG CONFIG</t>
  </si>
  <si>
    <t>Kênh đầu tư / Tài sản</t>
  </si>
  <si>
    <t>Lớp Tài Sản phân loại</t>
  </si>
  <si>
    <t>Số tiền hiện có (VND)</t>
  </si>
  <si>
    <t>Nơi lưu giữ / Tổ chức quản lý tài sản</t>
  </si>
  <si>
    <t>Tiền mặt &amp; tiết kiệm phòng mạch</t>
  </si>
  <si>
    <t>Sổ tiết kiệm dự phòng sự cố lâm sàng</t>
  </si>
  <si>
    <t>Bảo hiểm sức khỏe &amp; Nhân thọ</t>
  </si>
  <si>
    <t>Đã mua bảo hiểm trách nhiệm nghề nghiệp</t>
  </si>
  <si>
    <t>Chứng chỉ quỹ cổ phiếu (DCA 0-CPU)</t>
  </si>
  <si>
    <t>Quỹ mở cổ phiếu đầu tư tự động hàng tháng</t>
  </si>
  <si>
    <t>Bất động sản gia đình tích lũy</t>
  </si>
  <si>
    <t>Bất động sản đứng tên vợ/chồng an toàn</t>
  </si>
  <si>
    <t>Cổ phiếu trading lướt sóng</t>
  </si>
  <si>
    <t>Tự lướt sóng (Dễ mất chu kỳ CPU bác sĩ)</t>
  </si>
  <si>
    <t>Vàng vật chất nhẫn trơn</t>
  </si>
  <si>
    <t>Nhẫn trơn PNJ phòng vệ lạm phát</t>
  </si>
  <si>
    <t>Crypto (Speculative Sandbox)</t>
  </si>
  <si>
    <t>Tài sản số rủi ro cao</t>
  </si>
  <si>
    <t>TỔNG GIA SẢN ĐẦU TƯ THỰC TẾ</t>
  </si>
  <si>
    <t>Tổng cộng</t>
  </si>
  <si>
    <t>Tổng tài sản ròng đầu tư</t>
  </si>
  <si>
    <t>📊  BƯỚC 4: ĐỐI CHIẾU THỰC TẾ VS MỤC TIÊU &amp; CẢNH BÁO TÁI CÂN BẰNG</t>
  </si>
  <si>
    <t>Lớp Tài Sản</t>
  </si>
  <si>
    <t>% Thực Tế</t>
  </si>
  <si>
    <t>% Đề Xuất</t>
  </si>
  <si>
    <t>Thực tế (VND)</t>
  </si>
  <si>
    <t>Độ Lệch (%)</t>
  </si>
  <si>
    <t>Hành động tái cân bằng đề xuất (VND)</t>
  </si>
  <si>
    <t>PHẦN 4 — MÔ PHỎNG LỘ TRÌNH FIRE DÀNH CHO BÁC SĨ</t>
  </si>
  <si>
    <t>Tính toán năm chạm mốc Tự do tài chính và dự báo sức mạnh lá chắn thuế khấu hao</t>
  </si>
  <si>
    <t>⚙️  BƯỚC 1: THÔNG SỐ CONFIG TÀI SẢN &amp; ĐỘNG CƠ TÍCH LŨY</t>
  </si>
  <si>
    <t>Số tiền bác sĩ tự tích lũy thêm hàng tháng</t>
  </si>
  <si>
    <t>* Lượng tiền nhàn rỗi trích từ lương cố định cá nhân (VND)</t>
  </si>
  <si>
    <t>Số tiền thuế thiết bị y tế tiết kiệm/tháng</t>
  </si>
  <si>
    <t>* Liên kết tự động từ Lá chắn thuế thiết bị Tab 1 (VND)</t>
  </si>
  <si>
    <t>Lãi suất kỳ vọng danh mục đầu tư dài hạn (%)</t>
  </si>
  <si>
    <t>* Đề xuất: 12% danh mục quỹ cổ phiếu/ETF (DCA tích sản 0-CPU)</t>
  </si>
  <si>
    <t>Chi phí vận hành sinh hoạt cá nhân dự phòng/tháng</t>
  </si>
  <si>
    <t>* Mức chi tiêu sinh hoạt gia đình không tính chi phí phòng khám (VND)</t>
  </si>
  <si>
    <t>🔮  BƯỚC 2: CÁC MỐC KHÁNH THÀNH TỰ DO TÀI CHÍNH</t>
  </si>
  <si>
    <t>Cột mốc tự do</t>
  </si>
  <si>
    <t>Giá trị mục tiêu (VND)</t>
  </si>
  <si>
    <t>Số năm tích lũy cần thiết</t>
  </si>
  <si>
    <t>Mô tả vai trò và ý nghĩa cột mốc</t>
  </si>
  <si>
    <t>Lean FIRE (Độc lập tài chính y khoa tối thiểu)</t>
  </si>
  <si>
    <t>Tự do sinh hoạt cơ bản không cần thu nhập phòng mạch.</t>
  </si>
  <si>
    <t>Fat FIRE (Nghỉ hưu thoải mái &amp; Cống hiến)</t>
  </si>
  <si>
    <t>Mức sống tăng thêm 50%, an tâm nghiên cứu khoa học.</t>
  </si>
  <si>
    <t>📈  BƯỚC 3: MÔ PHỎNG TÍCH LŨY TÀI SẢN (LÃI KÉP 12% - SO SÁNH)</t>
  </si>
  <si>
    <t>Năm tích lũy</t>
  </si>
  <si>
    <t>Kịch bản A: Chỉ tích lũy cơ bản</t>
  </si>
  <si>
    <t>Kịch bản B: Tái đầu tư cả Thuế</t>
  </si>
  <si>
    <t>Thặng dư tăng thêm từ Lá chắn thuế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</si>
</sst>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9" x14ac:knownFonts="1">
    <font>
      <sz val="11"/>
      <color theme="1"/>
      <name val="Calibri"/>
      <family val="2"/>
      <scheme val="minor"/>
    </font>
    <font>
      <b/>
      <sz val="16"/>
      <color rgb="FFFFFFFF"/>
      <name val="Segoe UI"/>
      <family val="2"/>
    </font>
    <font>
      <sz val="11"/>
      <color theme="1"/>
      <name val="Segoe UI"/>
      <family val="2"/>
    </font>
    <font>
      <sz val="10"/>
      <color rgb="FFFFFFFF"/>
      <name val="Segoe UI"/>
      <family val="2"/>
    </font>
    <font>
      <b/>
      <sz val="13"/>
      <color rgb="FFFFFFFF"/>
      <name val="Segoe UI"/>
      <family val="2"/>
    </font>
    <font>
      <sz val="10"/>
      <color rgb="FF6A7072"/>
      <name val="Segoe UI"/>
      <family val="2"/>
    </font>
    <font>
      <b/>
      <sz val="12"/>
      <color rgb="FFFFFFFF"/>
      <name val="Segoe UI"/>
      <family val="2"/>
    </font>
    <font>
      <b/>
      <sz val="11.5"/>
      <color rgb="FFFFFFFF"/>
      <name val="Segoe UI"/>
      <family val="2"/>
    </font>
    <font>
      <b/>
      <sz val="8.5"/>
      <color rgb="FF6A7072"/>
      <name val="Segoe UI"/>
      <family val="2"/>
    </font>
    <font>
      <b/>
      <sz val="15"/>
      <color rgb="FF527D2E"/>
      <name val="Segoe UI"/>
      <family val="2"/>
    </font>
    <font>
      <b/>
      <sz val="15"/>
      <color rgb="FFC9973A"/>
      <name val="Segoe UI"/>
      <family val="2"/>
    </font>
    <font>
      <sz val="8.5"/>
      <color rgb="FF6A7072"/>
      <name val="Segoe UI"/>
      <family val="2"/>
    </font>
    <font>
      <b/>
      <sz val="10"/>
      <color rgb="FF073B4C"/>
      <name val="Segoe UI"/>
      <family val="2"/>
    </font>
    <font>
      <b/>
      <sz val="10"/>
      <color rgb="FF111111"/>
      <name val="Segoe UI"/>
      <family val="2"/>
    </font>
    <font>
      <i/>
      <sz val="8.5"/>
      <color rgb="FF6A7072"/>
      <name val="Segoe UI"/>
      <family val="2"/>
    </font>
    <font>
      <sz val="9.5"/>
      <color rgb="FF111111"/>
      <name val="Segoe UI"/>
      <family val="2"/>
    </font>
    <font>
      <sz val="10"/>
      <color rgb="FF111111"/>
      <name val="Segoe UI"/>
      <family val="2"/>
    </font>
    <font>
      <sz val="9"/>
      <color rgb="FF6A7072"/>
      <name val="Segoe UI"/>
      <family val="2"/>
    </font>
    <font>
      <b/>
      <sz val="9.5"/>
      <color rgb="FF111111"/>
      <name val="Segoe UI"/>
      <family val="2"/>
    </font>
    <font>
      <b/>
      <sz val="9.5"/>
      <color rgb="FF527D2E"/>
      <name val="Segoe UI"/>
      <family val="2"/>
    </font>
    <font>
      <b/>
      <sz val="10.5"/>
      <color rgb="FF073B4C"/>
      <name val="Segoe UI"/>
      <family val="2"/>
    </font>
    <font>
      <b/>
      <sz val="15"/>
      <color rgb="FFC0392B"/>
      <name val="Segoe UI"/>
      <family val="2"/>
    </font>
    <font>
      <b/>
      <sz val="9.5"/>
      <color rgb="FF6A7072"/>
      <name val="Segoe UI"/>
      <family val="2"/>
    </font>
    <font>
      <sz val="9"/>
      <color rgb="FF111111"/>
      <name val="Segoe UI"/>
      <family val="2"/>
    </font>
    <font>
      <i/>
      <sz val="10"/>
      <color rgb="FF6A7072"/>
      <name val="Segoe UI"/>
      <family val="2"/>
    </font>
    <font>
      <b/>
      <sz val="10"/>
      <color rgb="FF111111"/>
      <name val="Consolas"/>
      <family val="3"/>
    </font>
    <font>
      <sz val="10"/>
      <color rgb="FF111111"/>
      <name val="Consolas"/>
      <family val="3"/>
    </font>
    <font>
      <sz val="10"/>
      <color rgb="FF6A7072"/>
      <name val="Consolas"/>
      <family val="3"/>
    </font>
    <font>
      <sz val="10"/>
      <color rgb="FF527D2E"/>
      <name val="Consolas"/>
      <family val="3"/>
    </font>
    <font>
      <b/>
      <sz val="10"/>
      <color rgb="FF6A7072"/>
      <name val="Consolas"/>
      <family val="3"/>
    </font>
    <font>
      <b/>
      <sz val="10"/>
      <color rgb="FF527D2E"/>
      <name val="Consolas"/>
      <family val="3"/>
    </font>
    <font>
      <b/>
      <sz val="11"/>
      <color rgb="FF111111"/>
      <name val="Consolas"/>
      <family val="3"/>
    </font>
    <font>
      <b/>
      <sz val="11"/>
      <color rgb="FF527D2E"/>
      <name val="Consolas"/>
      <family val="3"/>
    </font>
    <font>
      <sz val="11"/>
      <color theme="1"/>
      <name val="Consolas"/>
      <family val="3"/>
    </font>
    <font>
      <b/>
      <sz val="10.5"/>
      <color rgb="FF111111"/>
      <name val="Consolas"/>
      <family val="3"/>
    </font>
    <font>
      <b/>
      <sz val="11"/>
      <color rgb="FF073B4C"/>
      <name val="Consolas"/>
      <family val="3"/>
    </font>
    <font>
      <b/>
      <sz val="10.5"/>
      <color rgb="FF527D2E"/>
      <name val="Consolas"/>
      <family val="3"/>
    </font>
    <font>
      <sz val="9.5"/>
      <color rgb="FF111111"/>
      <name val="Consolas"/>
      <family val="3"/>
    </font>
    <font>
      <b/>
      <sz val="9.5"/>
      <color rgb="FF527D2E"/>
      <name val="Consolas"/>
      <family val="3"/>
    </font>
  </fonts>
  <fills count="15">
    <fill>
      <patternFill patternType="none"/>
    </fill>
    <fill>
      <patternFill patternType="gray125"/>
    </fill>
    <fill>
      <patternFill patternType="solid">
        <fgColor rgb="FF073B4C"/>
        <bgColor indexed="64"/>
      </patternFill>
    </fill>
    <fill>
      <patternFill patternType="solid">
        <fgColor rgb="FFF72A3C"/>
        <bgColor indexed="64"/>
      </patternFill>
    </fill>
    <fill>
      <patternFill patternType="solid">
        <fgColor rgb="FFF6F7F4"/>
        <bgColor indexed="64"/>
      </patternFill>
    </fill>
    <fill>
      <patternFill patternType="solid">
        <fgColor rgb="FFF4F1EB"/>
        <bgColor indexed="64"/>
      </patternFill>
    </fill>
    <fill>
      <patternFill patternType="solid">
        <fgColor rgb="FFC9973A"/>
        <bgColor indexed="64"/>
      </patternFill>
    </fill>
    <fill>
      <patternFill patternType="solid">
        <fgColor rgb="FFFFFFFF"/>
        <bgColor indexed="64"/>
      </patternFill>
    </fill>
    <fill>
      <patternFill patternType="solid">
        <fgColor rgb="FFB9872A"/>
        <bgColor indexed="64"/>
      </patternFill>
    </fill>
    <fill>
      <patternFill patternType="solid">
        <fgColor rgb="FFF0F8FF"/>
        <bgColor indexed="64"/>
      </patternFill>
    </fill>
    <fill>
      <patternFill patternType="solid">
        <fgColor rgb="FFDDDDDD"/>
        <bgColor indexed="64"/>
      </patternFill>
    </fill>
    <fill>
      <patternFill patternType="solid">
        <fgColor rgb="FFC0392B"/>
        <bgColor indexed="64"/>
      </patternFill>
    </fill>
    <fill>
      <patternFill patternType="solid">
        <fgColor rgb="FFB0291B"/>
        <bgColor indexed="64"/>
      </patternFill>
    </fill>
    <fill>
      <patternFill patternType="solid">
        <fgColor rgb="FF527D2E"/>
        <bgColor indexed="64"/>
      </patternFill>
    </fill>
    <fill>
      <patternFill patternType="solid">
        <fgColor rgb="FF426D1E"/>
        <bgColor indexed="64"/>
      </patternFill>
    </fill>
  </fills>
  <borders count="15">
    <border>
      <left/>
      <right/>
      <top/>
      <bottom/>
      <diagonal/>
    </border>
    <border>
      <left/>
      <right/>
      <top style="thin">
        <color indexed="64"/>
      </top>
      <bottom/>
      <diagonal/>
    </border>
    <border>
      <left/>
      <right/>
      <top style="thin">
        <color rgb="FF88BBCC"/>
      </top>
      <bottom/>
      <diagonal/>
    </border>
    <border>
      <left style="thin">
        <color rgb="FF88BBCC"/>
      </left>
      <right/>
      <top style="thin">
        <color rgb="FF88BBCC"/>
      </top>
      <bottom/>
      <diagonal/>
    </border>
    <border>
      <left/>
      <right style="thin">
        <color rgb="FF88BBCC"/>
      </right>
      <top style="thin">
        <color rgb="FF88BBCC"/>
      </top>
      <bottom/>
      <diagonal/>
    </border>
    <border>
      <left style="thin">
        <color rgb="FF88BBCC"/>
      </left>
      <right/>
      <top/>
      <bottom/>
      <diagonal/>
    </border>
    <border>
      <left/>
      <right style="thin">
        <color rgb="FF88BBCC"/>
      </right>
      <top/>
      <bottom/>
      <diagonal/>
    </border>
    <border>
      <left/>
      <right/>
      <top/>
      <bottom style="thin">
        <color rgb="FF88BBCC"/>
      </bottom>
      <diagonal/>
    </border>
    <border>
      <left style="thin">
        <color rgb="FF88BBCC"/>
      </left>
      <right/>
      <top/>
      <bottom style="thin">
        <color rgb="FF88BBCC"/>
      </bottom>
      <diagonal/>
    </border>
    <border>
      <left/>
      <right style="thin">
        <color rgb="FF88BBCC"/>
      </right>
      <top/>
      <bottom style="thin">
        <color rgb="FF88BBCC"/>
      </bottom>
      <diagonal/>
    </border>
    <border>
      <left style="thin">
        <color rgb="FF88BBCC"/>
      </left>
      <right/>
      <top style="thin">
        <color rgb="FF88BBCC"/>
      </top>
      <bottom style="thin">
        <color rgb="FF88BBCC"/>
      </bottom>
      <diagonal/>
    </border>
    <border>
      <left style="thin">
        <color rgb="FF88BBCC"/>
      </left>
      <right style="thin">
        <color rgb="FF88BBCC"/>
      </right>
      <top style="thin">
        <color rgb="FF88BBCC"/>
      </top>
      <bottom style="thin">
        <color rgb="FF88BBCC"/>
      </bottom>
      <diagonal/>
    </border>
    <border>
      <left style="thin">
        <color rgb="FF88BBCC"/>
      </left>
      <right style="thin">
        <color rgb="FF88BBCC"/>
      </right>
      <top style="thin">
        <color rgb="FF88BBCC"/>
      </top>
      <bottom/>
      <diagonal/>
    </border>
    <border>
      <left/>
      <right/>
      <top style="thin">
        <color indexed="64"/>
      </top>
      <bottom style="double">
        <color indexed="64"/>
      </bottom>
      <diagonal/>
    </border>
    <border>
      <left/>
      <right/>
      <top style="thin">
        <color rgb="FF88BBCC"/>
      </top>
      <bottom style="double">
        <color indexed="64"/>
      </bottom>
      <diagonal/>
    </border>
  </borders>
  <cellStyleXfs count="1">
    <xf numFmtId="0" fontId="0" fillId="0" borderId="0"/>
  </cellStyleXfs>
  <cellXfs count="94">
    <xf numFmtId="0" fontId="0" fillId="0" borderId="0" xfId="0"/>
    <xf numFmtId="0" fontId="1" fillId="2" borderId="0" xfId="0" applyFont="1" applyFill="1" applyAlignment="1">
      <alignment horizontal="center"/>
    </xf>
    <xf numFmtId="0" fontId="2" fillId="0" borderId="0" xfId="0" applyFont="1" applyAlignment="1">
      <alignment horizontal="center"/>
    </xf>
    <xf numFmtId="0" fontId="2" fillId="0" borderId="0" xfId="0" applyFont="1"/>
    <xf numFmtId="0" fontId="3" fillId="3" borderId="0" xfId="0" applyFont="1" applyFill="1" applyAlignment="1">
      <alignment horizontal="center" wrapText="1"/>
    </xf>
    <xf numFmtId="0" fontId="2" fillId="0" borderId="0" xfId="0" applyFont="1" applyAlignment="1">
      <alignment horizontal="center" wrapText="1"/>
    </xf>
    <xf numFmtId="0" fontId="4" fillId="2" borderId="0" xfId="0" applyFont="1" applyFill="1" applyAlignment="1">
      <alignment horizontal="left" wrapText="1" indent="1"/>
    </xf>
    <xf numFmtId="0" fontId="5" fillId="4" borderId="0" xfId="0" applyFont="1" applyFill="1" applyAlignment="1">
      <alignment horizontal="left" wrapText="1" indent="2"/>
    </xf>
    <xf numFmtId="0" fontId="5" fillId="5" borderId="0" xfId="0" applyFont="1" applyFill="1" applyAlignment="1">
      <alignment horizontal="left" wrapText="1" indent="2"/>
    </xf>
    <xf numFmtId="0" fontId="4" fillId="6" borderId="0" xfId="0" applyFont="1" applyFill="1" applyAlignment="1">
      <alignment horizontal="left" wrapText="1" indent="1"/>
    </xf>
    <xf numFmtId="0" fontId="5" fillId="7" borderId="0" xfId="0" applyFont="1" applyFill="1" applyAlignment="1">
      <alignment horizontal="left" wrapText="1" indent="2"/>
    </xf>
    <xf numFmtId="0" fontId="6" fillId="2" borderId="0" xfId="0" applyFont="1" applyFill="1" applyAlignment="1">
      <alignment horizontal="left" wrapText="1" indent="1"/>
    </xf>
    <xf numFmtId="0" fontId="1" fillId="6" borderId="0" xfId="0" applyFont="1" applyFill="1" applyAlignment="1">
      <alignment horizontal="center"/>
    </xf>
    <xf numFmtId="0" fontId="3" fillId="8" borderId="0" xfId="0" applyFont="1" applyFill="1" applyAlignment="1">
      <alignment horizontal="center" wrapText="1"/>
    </xf>
    <xf numFmtId="0" fontId="7" fillId="2" borderId="0" xfId="0" applyFont="1" applyFill="1" applyAlignment="1">
      <alignment horizontal="left" indent="1"/>
    </xf>
    <xf numFmtId="0" fontId="2" fillId="0" borderId="0" xfId="0" applyFont="1" applyAlignment="1">
      <alignment horizontal="left" indent="1"/>
    </xf>
    <xf numFmtId="0" fontId="8" fillId="4" borderId="3" xfId="0" applyFont="1" applyFill="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9" fillId="4" borderId="5" xfId="0" applyFont="1" applyFill="1" applyBorder="1" applyAlignment="1">
      <alignment horizontal="center"/>
    </xf>
    <xf numFmtId="0" fontId="2" fillId="0" borderId="0" xfId="0" applyFont="1" applyBorder="1" applyAlignment="1">
      <alignment horizontal="center"/>
    </xf>
    <xf numFmtId="0" fontId="10" fillId="4" borderId="5" xfId="0" applyFont="1" applyFill="1" applyBorder="1" applyAlignment="1">
      <alignment horizontal="center"/>
    </xf>
    <xf numFmtId="0" fontId="2" fillId="0" borderId="6" xfId="0" applyFont="1" applyBorder="1" applyAlignment="1">
      <alignment horizontal="center"/>
    </xf>
    <xf numFmtId="0" fontId="11" fillId="4" borderId="8" xfId="0" applyFont="1" applyFill="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12" fillId="0" borderId="0" xfId="0" applyFont="1" applyAlignment="1">
      <alignment wrapText="1"/>
    </xf>
    <xf numFmtId="0" fontId="14" fillId="0" borderId="0" xfId="0" applyFont="1" applyAlignment="1">
      <alignment wrapText="1"/>
    </xf>
    <xf numFmtId="0" fontId="2" fillId="0" borderId="0" xfId="0" applyFont="1" applyAlignment="1">
      <alignment wrapText="1"/>
    </xf>
    <xf numFmtId="164" fontId="13" fillId="9" borderId="11" xfId="0" applyNumberFormat="1" applyFont="1" applyFill="1" applyBorder="1" applyAlignment="1">
      <alignment wrapText="1"/>
    </xf>
    <xf numFmtId="0" fontId="12" fillId="10" borderId="0" xfId="0" applyFont="1" applyFill="1" applyAlignment="1">
      <alignment horizontal="left"/>
    </xf>
    <xf numFmtId="0" fontId="12" fillId="10" borderId="0" xfId="0" applyFont="1" applyFill="1" applyAlignment="1">
      <alignment horizontal="center"/>
    </xf>
    <xf numFmtId="0" fontId="15" fillId="0" borderId="0" xfId="0" applyFont="1" applyAlignment="1">
      <alignment horizontal="left"/>
    </xf>
    <xf numFmtId="0" fontId="17" fillId="7" borderId="0" xfId="0" applyFont="1" applyFill="1" applyAlignment="1">
      <alignment horizontal="left"/>
    </xf>
    <xf numFmtId="0" fontId="2" fillId="0" borderId="0" xfId="0" applyFont="1" applyAlignment="1">
      <alignment horizontal="left"/>
    </xf>
    <xf numFmtId="0" fontId="18" fillId="0" borderId="0" xfId="0" applyFont="1" applyAlignment="1">
      <alignment horizontal="left"/>
    </xf>
    <xf numFmtId="164" fontId="16" fillId="7" borderId="0" xfId="0" applyNumberFormat="1" applyFont="1" applyFill="1" applyAlignment="1">
      <alignment horizontal="center"/>
    </xf>
    <xf numFmtId="0" fontId="5" fillId="7" borderId="0" xfId="0" applyFont="1" applyFill="1" applyAlignment="1">
      <alignment horizontal="center"/>
    </xf>
    <xf numFmtId="0" fontId="13" fillId="0" borderId="1" xfId="0" applyFont="1" applyBorder="1" applyAlignment="1">
      <alignment horizontal="left"/>
    </xf>
    <xf numFmtId="0" fontId="19" fillId="7" borderId="0" xfId="0" applyFont="1" applyFill="1" applyAlignment="1">
      <alignment horizontal="left"/>
    </xf>
    <xf numFmtId="0" fontId="20" fillId="4" borderId="13" xfId="0" applyFont="1" applyFill="1" applyBorder="1" applyAlignment="1">
      <alignment horizontal="left"/>
    </xf>
    <xf numFmtId="0" fontId="1" fillId="11" borderId="0" xfId="0" applyFont="1" applyFill="1" applyAlignment="1">
      <alignment horizontal="center"/>
    </xf>
    <xf numFmtId="0" fontId="3" fillId="12" borderId="0" xfId="0" applyFont="1" applyFill="1" applyAlignment="1">
      <alignment horizontal="center" wrapText="1"/>
    </xf>
    <xf numFmtId="0" fontId="21" fillId="4" borderId="5" xfId="0" applyFont="1" applyFill="1" applyBorder="1" applyAlignment="1">
      <alignment horizontal="center"/>
    </xf>
    <xf numFmtId="0" fontId="14" fillId="0" borderId="0" xfId="0" applyFont="1" applyAlignment="1">
      <alignment wrapText="1"/>
    </xf>
    <xf numFmtId="0" fontId="22" fillId="10" borderId="0" xfId="0" applyFont="1" applyFill="1" applyAlignment="1">
      <alignment horizontal="left"/>
    </xf>
    <xf numFmtId="0" fontId="23" fillId="0" borderId="0" xfId="0" applyFont="1" applyAlignment="1">
      <alignment horizontal="left"/>
    </xf>
    <xf numFmtId="0" fontId="13" fillId="7" borderId="0" xfId="0" applyFont="1" applyFill="1" applyAlignment="1">
      <alignment horizontal="center"/>
    </xf>
    <xf numFmtId="0" fontId="18" fillId="0" borderId="13" xfId="0" applyFont="1" applyBorder="1" applyAlignment="1">
      <alignment horizontal="left"/>
    </xf>
    <xf numFmtId="0" fontId="13" fillId="7" borderId="13" xfId="0" applyFont="1" applyFill="1" applyBorder="1" applyAlignment="1">
      <alignment horizontal="center"/>
    </xf>
    <xf numFmtId="0" fontId="1" fillId="13" borderId="0" xfId="0" applyFont="1" applyFill="1" applyAlignment="1">
      <alignment horizontal="center"/>
    </xf>
    <xf numFmtId="0" fontId="3" fillId="14" borderId="0" xfId="0" applyFont="1" applyFill="1" applyAlignment="1">
      <alignment horizontal="center" wrapText="1"/>
    </xf>
    <xf numFmtId="0" fontId="13" fillId="9" borderId="11" xfId="0" applyFont="1" applyFill="1" applyBorder="1" applyAlignment="1">
      <alignment wrapText="1"/>
    </xf>
    <xf numFmtId="0" fontId="24" fillId="9" borderId="12" xfId="0" applyFont="1" applyFill="1" applyBorder="1" applyAlignment="1">
      <alignment wrapText="1"/>
    </xf>
    <xf numFmtId="0" fontId="24" fillId="9" borderId="11" xfId="0" applyFont="1" applyFill="1" applyBorder="1" applyAlignment="1">
      <alignment wrapText="1"/>
    </xf>
    <xf numFmtId="0" fontId="22" fillId="4" borderId="13" xfId="0" applyFont="1" applyFill="1" applyBorder="1" applyAlignment="1">
      <alignment horizontal="left"/>
    </xf>
    <xf numFmtId="0" fontId="17" fillId="4" borderId="0" xfId="0" applyFont="1" applyFill="1" applyAlignment="1">
      <alignment horizontal="left"/>
    </xf>
    <xf numFmtId="0" fontId="15" fillId="7" borderId="0" xfId="0" applyFont="1" applyFill="1" applyAlignment="1">
      <alignment horizontal="left" wrapText="1"/>
    </xf>
    <xf numFmtId="0" fontId="2" fillId="0" borderId="0" xfId="0" applyFont="1" applyAlignment="1">
      <alignment horizontal="left" wrapText="1"/>
    </xf>
    <xf numFmtId="0" fontId="16" fillId="7" borderId="13" xfId="0" applyFont="1" applyFill="1" applyBorder="1" applyAlignment="1">
      <alignment horizontal="center"/>
    </xf>
    <xf numFmtId="164" fontId="13" fillId="9" borderId="12" xfId="0" applyNumberFormat="1" applyFont="1" applyFill="1" applyBorder="1" applyAlignment="1">
      <alignment wrapText="1"/>
    </xf>
    <xf numFmtId="0" fontId="22" fillId="10" borderId="0" xfId="0" applyFont="1" applyFill="1" applyAlignment="1">
      <alignment horizontal="left"/>
    </xf>
    <xf numFmtId="0" fontId="16" fillId="0" borderId="0" xfId="0" applyFont="1" applyAlignment="1">
      <alignment horizontal="left"/>
    </xf>
    <xf numFmtId="0" fontId="15" fillId="0" borderId="13" xfId="0" applyFont="1" applyBorder="1" applyAlignment="1">
      <alignment horizontal="left"/>
    </xf>
    <xf numFmtId="3" fontId="25" fillId="9" borderId="12" xfId="0" applyNumberFormat="1" applyFont="1" applyFill="1" applyBorder="1" applyAlignment="1">
      <alignment wrapText="1"/>
    </xf>
    <xf numFmtId="3" fontId="26" fillId="7" borderId="0" xfId="0" applyNumberFormat="1" applyFont="1" applyFill="1" applyAlignment="1">
      <alignment horizontal="center"/>
    </xf>
    <xf numFmtId="3" fontId="27" fillId="7" borderId="0" xfId="0" applyNumberFormat="1" applyFont="1" applyFill="1" applyAlignment="1">
      <alignment horizontal="center"/>
    </xf>
    <xf numFmtId="3" fontId="28" fillId="7" borderId="0" xfId="0" applyNumberFormat="1" applyFont="1" applyFill="1" applyAlignment="1">
      <alignment horizontal="center"/>
    </xf>
    <xf numFmtId="3" fontId="29" fillId="7" borderId="0" xfId="0" applyNumberFormat="1" applyFont="1" applyFill="1" applyAlignment="1">
      <alignment horizontal="center"/>
    </xf>
    <xf numFmtId="3" fontId="25" fillId="7" borderId="0" xfId="0" applyNumberFormat="1" applyFont="1" applyFill="1" applyAlignment="1">
      <alignment horizontal="center"/>
    </xf>
    <xf numFmtId="3" fontId="30" fillId="7" borderId="0" xfId="0" applyNumberFormat="1" applyFont="1" applyFill="1" applyAlignment="1">
      <alignment horizontal="center"/>
    </xf>
    <xf numFmtId="3" fontId="25" fillId="7" borderId="1" xfId="0" applyNumberFormat="1" applyFont="1" applyFill="1" applyBorder="1" applyAlignment="1">
      <alignment horizontal="center"/>
    </xf>
    <xf numFmtId="3" fontId="30" fillId="7" borderId="1" xfId="0" applyNumberFormat="1" applyFont="1" applyFill="1" applyBorder="1" applyAlignment="1">
      <alignment horizontal="center"/>
    </xf>
    <xf numFmtId="3" fontId="31" fillId="4" borderId="13" xfId="0" applyNumberFormat="1" applyFont="1" applyFill="1" applyBorder="1" applyAlignment="1">
      <alignment horizontal="center"/>
    </xf>
    <xf numFmtId="3" fontId="32" fillId="4" borderId="13" xfId="0" applyNumberFormat="1" applyFont="1" applyFill="1" applyBorder="1" applyAlignment="1">
      <alignment horizontal="center"/>
    </xf>
    <xf numFmtId="3" fontId="33" fillId="0" borderId="0" xfId="0" applyNumberFormat="1" applyFont="1"/>
    <xf numFmtId="3" fontId="25" fillId="9" borderId="11" xfId="0" applyNumberFormat="1" applyFont="1" applyFill="1" applyBorder="1" applyAlignment="1">
      <alignment wrapText="1"/>
    </xf>
    <xf numFmtId="165" fontId="34" fillId="7" borderId="0" xfId="0" applyNumberFormat="1" applyFont="1" applyFill="1" applyAlignment="1">
      <alignment horizontal="center"/>
    </xf>
    <xf numFmtId="3" fontId="34" fillId="7" borderId="0" xfId="0" applyNumberFormat="1" applyFont="1" applyFill="1" applyAlignment="1">
      <alignment horizontal="center"/>
    </xf>
    <xf numFmtId="0" fontId="25" fillId="7" borderId="13" xfId="0" applyFont="1" applyFill="1" applyBorder="1" applyAlignment="1">
      <alignment horizontal="center"/>
    </xf>
    <xf numFmtId="164" fontId="25" fillId="7" borderId="0" xfId="0" applyNumberFormat="1" applyFont="1" applyFill="1" applyAlignment="1">
      <alignment horizontal="center"/>
    </xf>
    <xf numFmtId="164" fontId="25" fillId="7" borderId="13" xfId="0" applyNumberFormat="1" applyFont="1" applyFill="1" applyBorder="1" applyAlignment="1">
      <alignment horizontal="center"/>
    </xf>
    <xf numFmtId="3" fontId="25" fillId="9" borderId="3" xfId="0" applyNumberFormat="1" applyFont="1" applyFill="1" applyBorder="1" applyAlignment="1">
      <alignment horizontal="center" wrapText="1"/>
    </xf>
    <xf numFmtId="3" fontId="25" fillId="9" borderId="10" xfId="0" applyNumberFormat="1" applyFont="1" applyFill="1" applyBorder="1" applyAlignment="1">
      <alignment horizontal="center" wrapText="1"/>
    </xf>
    <xf numFmtId="3" fontId="35" fillId="4" borderId="14" xfId="0" applyNumberFormat="1" applyFont="1" applyFill="1" applyBorder="1" applyAlignment="1">
      <alignment horizontal="center"/>
    </xf>
    <xf numFmtId="164" fontId="33" fillId="0" borderId="0" xfId="0" applyNumberFormat="1" applyFont="1"/>
    <xf numFmtId="164" fontId="26" fillId="7" borderId="0" xfId="0" applyNumberFormat="1" applyFont="1" applyFill="1" applyAlignment="1">
      <alignment horizontal="center"/>
    </xf>
    <xf numFmtId="165" fontId="36" fillId="7" borderId="0" xfId="0" applyNumberFormat="1" applyFont="1" applyFill="1" applyAlignment="1">
      <alignment horizontal="center"/>
    </xf>
    <xf numFmtId="3" fontId="25" fillId="7" borderId="13" xfId="0" applyNumberFormat="1" applyFont="1" applyFill="1" applyBorder="1" applyAlignment="1">
      <alignment horizontal="center"/>
    </xf>
    <xf numFmtId="165" fontId="36" fillId="7" borderId="13" xfId="0" applyNumberFormat="1" applyFont="1" applyFill="1" applyBorder="1" applyAlignment="1">
      <alignment horizontal="center"/>
    </xf>
    <xf numFmtId="3" fontId="37" fillId="7" borderId="0" xfId="0" applyNumberFormat="1" applyFont="1" applyFill="1" applyAlignment="1">
      <alignment horizontal="center"/>
    </xf>
    <xf numFmtId="3" fontId="38" fillId="7" borderId="0" xfId="0" applyNumberFormat="1" applyFont="1" applyFill="1" applyAlignment="1">
      <alignment horizontal="center"/>
    </xf>
    <xf numFmtId="3" fontId="37" fillId="7" borderId="13" xfId="0" applyNumberFormat="1" applyFont="1" applyFill="1" applyBorder="1" applyAlignment="1">
      <alignment horizontal="center"/>
    </xf>
    <xf numFmtId="3" fontId="38" fillId="7" borderId="13" xfId="0" applyNumberFormat="1" applyFont="1" applyFill="1" applyBorder="1" applyAlignment="1">
      <alignment horizontal="center"/>
    </xf>
  </cellXfs>
  <cellStyles count="1">
    <cellStyle name="Normal" xfId="0" builtinId="0"/>
  </cellStyles>
  <dxfs count="8">
    <dxf>
      <font>
        <color rgb="FFC0392B"/>
      </font>
      <fill>
        <patternFill>
          <bgColor rgb="FFF8D7DA"/>
        </patternFill>
      </fill>
    </dxf>
    <dxf>
      <font>
        <color rgb="FFC0392B"/>
      </font>
      <fill>
        <patternFill>
          <bgColor rgb="FFF8D7DA"/>
        </patternFill>
      </fill>
    </dxf>
    <dxf>
      <font>
        <color rgb="FF527D2E"/>
      </font>
      <fill>
        <patternFill>
          <bgColor rgb="FFD4EDDA"/>
        </patternFill>
      </fill>
    </dxf>
    <dxf>
      <font>
        <color rgb="FF527D2E"/>
      </font>
      <fill>
        <patternFill>
          <bgColor rgb="FFD4EDDA"/>
        </patternFill>
      </fill>
    </dxf>
    <dxf>
      <font>
        <color rgb="FFC0392B"/>
      </font>
      <fill>
        <patternFill>
          <bgColor rgb="FFF8D7DA"/>
        </patternFill>
      </fill>
    </dxf>
    <dxf>
      <font>
        <color rgb="FF527D2E"/>
      </font>
      <fill>
        <patternFill>
          <bgColor rgb="FFD4EDDA"/>
        </patternFill>
      </fill>
    </dxf>
    <dxf>
      <font>
        <color rgb="FF111111"/>
      </font>
      <fill>
        <patternFill>
          <bgColor rgb="FFCDF3FF"/>
        </patternFill>
      </fill>
    </dxf>
    <dxf>
      <font>
        <color rgb="FFC0392B"/>
      </font>
      <fill>
        <patternFill>
          <bgColor rgb="FFF8D7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vi-VN"/>
              <a:t>Cơ Cấu Danh Mục 3 Lớp Bác Sĩ: Thực Tế vs. Mục Tiêu</a:t>
            </a:r>
          </a:p>
        </c:rich>
      </c:tx>
      <c:overlay val="0"/>
    </c:title>
    <c:autoTitleDeleted val="0"/>
    <c:plotArea>
      <c:layout/>
      <c:barChart>
        <c:barDir val="col"/>
        <c:grouping val="clustered"/>
        <c:varyColors val="0"/>
        <c:ser>
          <c:idx val="0"/>
          <c:order val="0"/>
          <c:tx>
            <c:strRef>
              <c:f>'3.Phan Bo 3 Lop'!$B$26</c:f>
              <c:strCache>
                <c:ptCount val="1"/>
                <c:pt idx="0">
                  <c:v>% Thực Tế</c:v>
                </c:pt>
              </c:strCache>
            </c:strRef>
          </c:tx>
          <c:invertIfNegative val="0"/>
          <c:cat>
            <c:strRef>
              <c:f>'3.Phan Bo 3 Lop'!$A$27:$A$29</c:f>
              <c:strCache>
                <c:ptCount val="3"/>
                <c:pt idx="1">
                  <c:v>🛡️ Lớp Phòng Thủ (Core System)</c:v>
                </c:pt>
                <c:pt idx="2">
                  <c:v>📈 Lớp Tích Sản (Scaled Production)</c:v>
                </c:pt>
              </c:strCache>
            </c:strRef>
          </c:cat>
          <c:val>
            <c:numRef>
              <c:f>'3.Phan Bo 3 Lop'!$B$27:$B$29</c:f>
              <c:numCache>
                <c:formatCode>0.0%</c:formatCode>
                <c:ptCount val="3"/>
                <c:pt idx="1">
                  <c:v>9.6525096525096526E-2</c:v>
                </c:pt>
                <c:pt idx="2">
                  <c:v>0.83011583011583012</c:v>
                </c:pt>
              </c:numCache>
            </c:numRef>
          </c:val>
          <c:extLst>
            <c:ext xmlns:c16="http://schemas.microsoft.com/office/drawing/2014/chart" uri="{C3380CC4-5D6E-409C-BE32-E72D297353CC}">
              <c16:uniqueId val="{00000002-F6FF-4591-9705-383B82713332}"/>
            </c:ext>
          </c:extLst>
        </c:ser>
        <c:ser>
          <c:idx val="1"/>
          <c:order val="1"/>
          <c:tx>
            <c:strRef>
              <c:f>'3.Phan Bo 3 Lop'!$C$26</c:f>
              <c:strCache>
                <c:ptCount val="1"/>
                <c:pt idx="0">
                  <c:v>% Đề Xuất</c:v>
                </c:pt>
              </c:strCache>
            </c:strRef>
          </c:tx>
          <c:invertIfNegative val="0"/>
          <c:cat>
            <c:strRef>
              <c:f>'3.Phan Bo 3 Lop'!$A$27:$A$29</c:f>
              <c:strCache>
                <c:ptCount val="3"/>
                <c:pt idx="1">
                  <c:v>🛡️ Lớp Phòng Thủ (Core System)</c:v>
                </c:pt>
                <c:pt idx="2">
                  <c:v>📈 Lớp Tích Sản (Scaled Production)</c:v>
                </c:pt>
              </c:strCache>
            </c:strRef>
          </c:cat>
          <c:val>
            <c:numRef>
              <c:f>'3.Phan Bo 3 Lop'!$C$27:$C$29</c:f>
              <c:numCache>
                <c:formatCode>0.0%</c:formatCode>
                <c:ptCount val="3"/>
                <c:pt idx="1">
                  <c:v>0.4</c:v>
                </c:pt>
                <c:pt idx="2">
                  <c:v>0.5</c:v>
                </c:pt>
              </c:numCache>
            </c:numRef>
          </c:val>
          <c:extLst>
            <c:ext xmlns:c16="http://schemas.microsoft.com/office/drawing/2014/chart" uri="{C3380CC4-5D6E-409C-BE32-E72D297353CC}">
              <c16:uniqueId val="{00000003-F6FF-4591-9705-383B82713332}"/>
            </c:ext>
          </c:extLst>
        </c:ser>
        <c:dLbls>
          <c:showLegendKey val="0"/>
          <c:showVal val="0"/>
          <c:showCatName val="0"/>
          <c:showSerName val="0"/>
          <c:showPercent val="0"/>
          <c:showBubbleSize val="0"/>
        </c:dLbls>
        <c:gapWidth val="150"/>
        <c:axId val="1008998640"/>
        <c:axId val="1008997680"/>
      </c:barChart>
      <c:catAx>
        <c:axId val="1008998640"/>
        <c:scaling>
          <c:orientation val="minMax"/>
        </c:scaling>
        <c:delete val="0"/>
        <c:axPos val="b"/>
        <c:numFmt formatCode="General" sourceLinked="1"/>
        <c:majorTickMark val="out"/>
        <c:minorTickMark val="none"/>
        <c:tickLblPos val="nextTo"/>
        <c:crossAx val="1008997680"/>
        <c:crosses val="autoZero"/>
        <c:auto val="1"/>
        <c:lblAlgn val="ctr"/>
        <c:lblOffset val="100"/>
        <c:noMultiLvlLbl val="0"/>
      </c:catAx>
      <c:valAx>
        <c:axId val="1008997680"/>
        <c:scaling>
          <c:orientation val="minMax"/>
        </c:scaling>
        <c:delete val="0"/>
        <c:axPos val="l"/>
        <c:majorGridlines/>
        <c:numFmt formatCode="0.0%" sourceLinked="1"/>
        <c:majorTickMark val="out"/>
        <c:minorTickMark val="none"/>
        <c:tickLblPos val="nextTo"/>
        <c:crossAx val="1008998640"/>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0</xdr:colOff>
      <xdr:row>24</xdr:row>
      <xdr:rowOff>0</xdr:rowOff>
    </xdr:from>
    <xdr:to>
      <xdr:col>9</xdr:col>
      <xdr:colOff>587375</xdr:colOff>
      <xdr:row>32</xdr:row>
      <xdr:rowOff>149225</xdr:rowOff>
    </xdr:to>
    <xdr:graphicFrame macro="">
      <xdr:nvGraphicFramePr>
        <xdr:cNvPr id="2" name="Chart 1">
          <a:extLst>
            <a:ext uri="{FF2B5EF4-FFF2-40B4-BE49-F238E27FC236}">
              <a16:creationId xmlns:a16="http://schemas.microsoft.com/office/drawing/2014/main" id="{F0C5590A-5641-1D64-87F7-C131B0DE99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24642-8FB1-4A9A-B6DF-0B878029896B}">
  <sheetPr>
    <tabColor rgb="FF073B4C"/>
  </sheetPr>
  <dimension ref="A1:H21"/>
  <sheetViews>
    <sheetView showGridLines="0" tabSelected="1" workbookViewId="0">
      <selection sqref="A1:H1"/>
    </sheetView>
  </sheetViews>
  <sheetFormatPr defaultRowHeight="16.5" x14ac:dyDescent="0.6"/>
  <cols>
    <col min="1" max="1" width="151.6640625" style="3" bestFit="1" customWidth="1"/>
    <col min="2" max="16384" width="9.06640625" style="3"/>
  </cols>
  <sheetData>
    <row r="1" spans="1:8" ht="44" customHeight="1" x14ac:dyDescent="0.85">
      <c r="A1" s="1" t="s">
        <v>0</v>
      </c>
      <c r="B1" s="2"/>
      <c r="C1" s="2"/>
      <c r="D1" s="2"/>
      <c r="E1" s="2"/>
      <c r="F1" s="2"/>
      <c r="G1" s="2"/>
      <c r="H1" s="2"/>
    </row>
    <row r="2" spans="1:8" x14ac:dyDescent="0.6">
      <c r="A2" s="4" t="s">
        <v>1</v>
      </c>
      <c r="B2" s="5"/>
      <c r="C2" s="5"/>
      <c r="D2" s="5"/>
      <c r="E2" s="5"/>
      <c r="F2" s="5"/>
      <c r="G2" s="5"/>
      <c r="H2" s="5"/>
    </row>
    <row r="3" spans="1:8" ht="10.050000000000001" customHeight="1" x14ac:dyDescent="0.6"/>
    <row r="4" spans="1:8" ht="28.05" customHeight="1" x14ac:dyDescent="0.65">
      <c r="A4" s="6" t="s">
        <v>2</v>
      </c>
    </row>
    <row r="5" spans="1:8" ht="46.05" customHeight="1" x14ac:dyDescent="0.6">
      <c r="A5" s="7" t="s">
        <v>3</v>
      </c>
    </row>
    <row r="7" spans="1:8" ht="28.05" customHeight="1" x14ac:dyDescent="0.65">
      <c r="A7" s="6" t="s">
        <v>4</v>
      </c>
    </row>
    <row r="8" spans="1:8" ht="38" customHeight="1" x14ac:dyDescent="0.6">
      <c r="A8" s="7" t="s">
        <v>5</v>
      </c>
    </row>
    <row r="9" spans="1:8" ht="38" customHeight="1" x14ac:dyDescent="0.6">
      <c r="A9" s="8" t="s">
        <v>6</v>
      </c>
    </row>
    <row r="10" spans="1:8" ht="38" customHeight="1" x14ac:dyDescent="0.6">
      <c r="A10" s="7" t="s">
        <v>7</v>
      </c>
    </row>
    <row r="11" spans="1:8" ht="38" customHeight="1" x14ac:dyDescent="0.6">
      <c r="A11" s="8" t="s">
        <v>8</v>
      </c>
    </row>
    <row r="13" spans="1:8" ht="28.05" customHeight="1" x14ac:dyDescent="0.65">
      <c r="A13" s="9" t="s">
        <v>9</v>
      </c>
    </row>
    <row r="14" spans="1:8" ht="28.05" customHeight="1" x14ac:dyDescent="0.6">
      <c r="A14" s="10" t="s">
        <v>10</v>
      </c>
    </row>
    <row r="15" spans="1:8" ht="28.05" customHeight="1" x14ac:dyDescent="0.6">
      <c r="A15" s="10" t="s">
        <v>11</v>
      </c>
    </row>
    <row r="16" spans="1:8" ht="28.05" customHeight="1" x14ac:dyDescent="0.6">
      <c r="A16" s="10" t="s">
        <v>12</v>
      </c>
    </row>
    <row r="17" spans="1:1" ht="28.05" customHeight="1" x14ac:dyDescent="0.6">
      <c r="A17" s="10" t="s">
        <v>13</v>
      </c>
    </row>
    <row r="19" spans="1:1" ht="28.05" customHeight="1" x14ac:dyDescent="0.7">
      <c r="A19" s="11" t="s">
        <v>14</v>
      </c>
    </row>
    <row r="20" spans="1:1" ht="24" customHeight="1" x14ac:dyDescent="0.6">
      <c r="A20" s="7" t="s">
        <v>15</v>
      </c>
    </row>
    <row r="21" spans="1:1" ht="24" customHeight="1" x14ac:dyDescent="0.6">
      <c r="A21" s="8" t="s">
        <v>16</v>
      </c>
    </row>
  </sheetData>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C489F-B0EC-4450-9484-777823D4A374}">
  <sheetPr>
    <tabColor rgb="FFC9973A"/>
  </sheetPr>
  <dimension ref="A1:H26"/>
  <sheetViews>
    <sheetView workbookViewId="0">
      <selection sqref="A1:H1"/>
    </sheetView>
  </sheetViews>
  <sheetFormatPr defaultRowHeight="16.5" x14ac:dyDescent="0.6"/>
  <cols>
    <col min="1" max="1" width="43.59765625" style="3" bestFit="1" customWidth="1"/>
    <col min="2" max="2" width="23.59765625" style="3" bestFit="1" customWidth="1"/>
    <col min="3" max="3" width="27.46484375" style="3" bestFit="1" customWidth="1"/>
    <col min="4" max="4" width="18.06640625" style="3" bestFit="1" customWidth="1"/>
    <col min="5" max="5" width="12.59765625" style="3" customWidth="1"/>
    <col min="6" max="6" width="38.59765625" style="3" customWidth="1"/>
    <col min="7" max="16384" width="9.06640625" style="3"/>
  </cols>
  <sheetData>
    <row r="1" spans="1:8" ht="44" customHeight="1" x14ac:dyDescent="0.85">
      <c r="A1" s="12" t="s">
        <v>17</v>
      </c>
      <c r="B1" s="2"/>
      <c r="C1" s="2"/>
      <c r="D1" s="2"/>
      <c r="E1" s="2"/>
      <c r="F1" s="2"/>
      <c r="G1" s="2"/>
      <c r="H1" s="2"/>
    </row>
    <row r="2" spans="1:8" x14ac:dyDescent="0.6">
      <c r="A2" s="13" t="s">
        <v>18</v>
      </c>
      <c r="B2" s="5"/>
      <c r="C2" s="5"/>
      <c r="D2" s="5"/>
      <c r="E2" s="5"/>
      <c r="F2" s="5"/>
      <c r="G2" s="5"/>
      <c r="H2" s="5"/>
    </row>
    <row r="3" spans="1:8" ht="10.050000000000001" customHeight="1" x14ac:dyDescent="0.6"/>
    <row r="4" spans="1:8" ht="28.05" customHeight="1" x14ac:dyDescent="0.6">
      <c r="A4" s="14" t="s">
        <v>19</v>
      </c>
      <c r="B4" s="15"/>
      <c r="C4" s="15"/>
      <c r="D4" s="15"/>
      <c r="E4" s="15"/>
      <c r="F4" s="15"/>
    </row>
    <row r="5" spans="1:8" ht="20" customHeight="1" x14ac:dyDescent="0.6">
      <c r="A5" s="16" t="s">
        <v>20</v>
      </c>
      <c r="B5" s="17"/>
      <c r="C5" s="16" t="s">
        <v>22</v>
      </c>
      <c r="D5" s="17"/>
      <c r="E5" s="16" t="s">
        <v>24</v>
      </c>
      <c r="F5" s="18"/>
    </row>
    <row r="6" spans="1:8" ht="28.05" customHeight="1" x14ac:dyDescent="0.75">
      <c r="A6" s="19">
        <f>D24</f>
        <v>28000000.000000015</v>
      </c>
      <c r="B6" s="20"/>
      <c r="C6" s="19">
        <f>D24*B12</f>
        <v>140000000.00000006</v>
      </c>
      <c r="D6" s="20"/>
      <c r="E6" s="21">
        <f>'4.Lo Trinh FIRE'!D28</f>
        <v>2308262519.2371826</v>
      </c>
      <c r="F6" s="22"/>
    </row>
    <row r="7" spans="1:8" ht="20" customHeight="1" x14ac:dyDescent="0.6">
      <c r="A7" s="23" t="s">
        <v>21</v>
      </c>
      <c r="B7" s="24"/>
      <c r="C7" s="23" t="s">
        <v>23</v>
      </c>
      <c r="D7" s="24"/>
      <c r="E7" s="23" t="s">
        <v>25</v>
      </c>
      <c r="F7" s="25"/>
    </row>
    <row r="8" spans="1:8" ht="10.050000000000001" customHeight="1" x14ac:dyDescent="0.6"/>
    <row r="9" spans="1:8" ht="28.05" customHeight="1" x14ac:dyDescent="0.6">
      <c r="A9" s="14" t="s">
        <v>26</v>
      </c>
      <c r="B9" s="15"/>
      <c r="C9" s="15"/>
      <c r="D9" s="15"/>
      <c r="E9" s="15"/>
      <c r="F9" s="15"/>
    </row>
    <row r="10" spans="1:8" ht="24" customHeight="1" x14ac:dyDescent="0.6">
      <c r="A10" s="26" t="s">
        <v>27</v>
      </c>
      <c r="B10" s="64">
        <v>1200000000</v>
      </c>
      <c r="F10" s="27" t="s">
        <v>28</v>
      </c>
      <c r="G10" s="28"/>
      <c r="H10" s="28"/>
    </row>
    <row r="11" spans="1:8" ht="24" customHeight="1" x14ac:dyDescent="0.6">
      <c r="A11" s="26" t="s">
        <v>29</v>
      </c>
      <c r="B11" s="64">
        <v>1000000000</v>
      </c>
      <c r="F11" s="27" t="s">
        <v>30</v>
      </c>
      <c r="G11" s="28"/>
      <c r="H11" s="28"/>
    </row>
    <row r="12" spans="1:8" ht="24" customHeight="1" x14ac:dyDescent="0.6">
      <c r="A12" s="26" t="s">
        <v>31</v>
      </c>
      <c r="B12" s="64">
        <v>5</v>
      </c>
      <c r="F12" s="27" t="s">
        <v>32</v>
      </c>
      <c r="G12" s="28"/>
      <c r="H12" s="28"/>
    </row>
    <row r="13" spans="1:8" ht="24" customHeight="1" x14ac:dyDescent="0.6">
      <c r="A13" s="26" t="s">
        <v>33</v>
      </c>
      <c r="B13" s="29">
        <v>0.6</v>
      </c>
      <c r="F13" s="27" t="s">
        <v>34</v>
      </c>
      <c r="G13" s="28"/>
      <c r="H13" s="28"/>
    </row>
    <row r="16" spans="1:8" ht="28.05" customHeight="1" x14ac:dyDescent="0.6">
      <c r="A16" s="14" t="s">
        <v>35</v>
      </c>
      <c r="B16" s="15"/>
      <c r="C16" s="15"/>
      <c r="D16" s="15"/>
      <c r="E16" s="15"/>
      <c r="F16" s="15"/>
    </row>
    <row r="17" spans="1:6" ht="22.05" customHeight="1" x14ac:dyDescent="0.6">
      <c r="A17" s="30" t="s">
        <v>36</v>
      </c>
      <c r="B17" s="31" t="s">
        <v>37</v>
      </c>
      <c r="C17" s="31" t="s">
        <v>38</v>
      </c>
      <c r="D17" s="31" t="s">
        <v>39</v>
      </c>
    </row>
    <row r="18" spans="1:6" ht="20" customHeight="1" x14ac:dyDescent="0.6">
      <c r="A18" s="32" t="s">
        <v>40</v>
      </c>
      <c r="B18" s="65">
        <f>B10</f>
        <v>1200000000</v>
      </c>
      <c r="C18" s="65">
        <f>B10</f>
        <v>1200000000</v>
      </c>
      <c r="D18" s="66">
        <f>C18-B18</f>
        <v>0</v>
      </c>
    </row>
    <row r="19" spans="1:6" ht="20" customHeight="1" x14ac:dyDescent="0.6">
      <c r="A19" s="32" t="s">
        <v>41</v>
      </c>
      <c r="B19" s="66">
        <v>0</v>
      </c>
      <c r="C19" s="65">
        <f>B11/B12</f>
        <v>200000000</v>
      </c>
      <c r="D19" s="67">
        <f>C19-B19</f>
        <v>200000000</v>
      </c>
      <c r="E19" s="33" t="str">
        <f>"Lá chắn thuế khấu hao = " &amp; TEXT(C19*C23,"#,##0") &amp; " VND (thuế giảm trực tiếp)"</f>
        <v>Lá chắn thuế khấu hao = 40,000,000 VND (thuế giảm trực tiếp)</v>
      </c>
      <c r="F19" s="34"/>
    </row>
    <row r="20" spans="1:6" ht="20" customHeight="1" x14ac:dyDescent="0.6">
      <c r="A20" s="32" t="s">
        <v>42</v>
      </c>
      <c r="B20" s="66">
        <v>0</v>
      </c>
      <c r="C20" s="65">
        <f>C18*B13</f>
        <v>720000000</v>
      </c>
      <c r="D20" s="67">
        <f>C20-B20</f>
        <v>720000000</v>
      </c>
      <c r="E20" s="33" t="str">
        <f>"Lá chắn thuế chi phí vận hành = " &amp; TEXT(C20*C23,"#,##0") &amp; " VND"</f>
        <v>Lá chắn thuế chi phí vận hành = 144,000,000 VND</v>
      </c>
      <c r="F20" s="34"/>
    </row>
    <row r="21" spans="1:6" ht="20" customHeight="1" x14ac:dyDescent="0.6">
      <c r="A21" s="35" t="s">
        <v>43</v>
      </c>
      <c r="B21" s="68">
        <v>0</v>
      </c>
      <c r="C21" s="69">
        <f>C19+C20</f>
        <v>920000000</v>
      </c>
      <c r="D21" s="70">
        <f>C21-B21</f>
        <v>920000000</v>
      </c>
      <c r="E21" s="33" t="str">
        <f>"Tổng lá chắn thuế được trừ thẳng vào thu nhập chịu thuế: " &amp; TEXT(C21*C23,"#,##0") &amp; " VND"</f>
        <v>Tổng lá chắn thuế được trừ thẳng vào thu nhập chịu thuế: 184,000,000 VND</v>
      </c>
      <c r="F21" s="34"/>
    </row>
    <row r="22" spans="1:6" ht="20" customHeight="1" x14ac:dyDescent="0.6">
      <c r="A22" s="32" t="s">
        <v>44</v>
      </c>
      <c r="B22" s="65">
        <f>B10</f>
        <v>1200000000</v>
      </c>
      <c r="C22" s="65">
        <f>MAX(0, C18-C21)</f>
        <v>280000000</v>
      </c>
      <c r="D22" s="66">
        <f>C22-B22</f>
        <v>-920000000</v>
      </c>
    </row>
    <row r="23" spans="1:6" ht="20" customHeight="1" x14ac:dyDescent="0.6">
      <c r="A23" s="32" t="s">
        <v>45</v>
      </c>
      <c r="B23" s="36">
        <v>7.0000000000000007E-2</v>
      </c>
      <c r="C23" s="36">
        <v>0.2</v>
      </c>
      <c r="D23" s="37"/>
    </row>
    <row r="24" spans="1:6" ht="22.05" customHeight="1" x14ac:dyDescent="0.6">
      <c r="A24" s="38" t="s">
        <v>46</v>
      </c>
      <c r="B24" s="71">
        <f>B22*B23</f>
        <v>84000000.000000015</v>
      </c>
      <c r="C24" s="72">
        <f>C22*C23</f>
        <v>56000000</v>
      </c>
      <c r="D24" s="72">
        <f>B24-C24</f>
        <v>28000000.000000015</v>
      </c>
      <c r="E24" s="39" t="str">
        <f>"Thuế tiết kiệm thực tế nhờ chuyển đổi mô hình TNHH và tối ưu chi phí: " &amp; TEXT(D24,"#,##0") &amp; " VND/năm"</f>
        <v>Thuế tiết kiệm thực tế nhờ chuyển đổi mô hình TNHH và tối ưu chi phí: 28,000,000 VND/năm</v>
      </c>
      <c r="F24" s="34"/>
    </row>
    <row r="25" spans="1:6" ht="26" customHeight="1" thickBot="1" x14ac:dyDescent="0.65">
      <c r="A25" s="40" t="s">
        <v>47</v>
      </c>
      <c r="B25" s="73">
        <f>B18-B24</f>
        <v>1116000000</v>
      </c>
      <c r="C25" s="74">
        <f>C18-C24</f>
        <v>1144000000</v>
      </c>
      <c r="D25" s="74">
        <f>C25-B25</f>
        <v>28000000</v>
      </c>
      <c r="E25" s="33" t="str">
        <f>"Dòng tiền giữ lại nhiều hơn ở TNHH giúp bác sĩ tái đầu tư tích sản: " &amp; TEXT(D25,"#,##0") &amp; " VND"</f>
        <v>Dòng tiền giữ lại nhiều hơn ở TNHH giúp bác sĩ tái đầu tư tích sản: 28,000,000 VND</v>
      </c>
      <c r="F25" s="34"/>
    </row>
    <row r="26" spans="1:6" ht="16.899999999999999" thickTop="1" x14ac:dyDescent="0.6">
      <c r="B26" s="75"/>
      <c r="C26" s="75"/>
      <c r="D26" s="75"/>
    </row>
  </sheetData>
  <mergeCells count="23">
    <mergeCell ref="E25:F25"/>
    <mergeCell ref="F13:H13"/>
    <mergeCell ref="A16:F16"/>
    <mergeCell ref="E19:F19"/>
    <mergeCell ref="E20:F20"/>
    <mergeCell ref="E21:F21"/>
    <mergeCell ref="E24:F24"/>
    <mergeCell ref="E6:F6"/>
    <mergeCell ref="E7:F7"/>
    <mergeCell ref="A9:F9"/>
    <mergeCell ref="F10:H10"/>
    <mergeCell ref="F11:H11"/>
    <mergeCell ref="F12:H12"/>
    <mergeCell ref="A1:H1"/>
    <mergeCell ref="A2:H2"/>
    <mergeCell ref="A4:F4"/>
    <mergeCell ref="A5:B5"/>
    <mergeCell ref="A6:B6"/>
    <mergeCell ref="A7:B7"/>
    <mergeCell ref="C5:D5"/>
    <mergeCell ref="C6:D6"/>
    <mergeCell ref="C7:D7"/>
    <mergeCell ref="E5:F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9C10D-01A3-40F2-94DC-DD7D97689EB7}">
  <sheetPr>
    <tabColor rgb="FFC0392B"/>
  </sheetPr>
  <dimension ref="A1:H21"/>
  <sheetViews>
    <sheetView workbookViewId="0">
      <selection sqref="A1:H1"/>
    </sheetView>
  </sheetViews>
  <sheetFormatPr defaultRowHeight="16.5" x14ac:dyDescent="0.6"/>
  <cols>
    <col min="1" max="1" width="45.3984375" style="3" bestFit="1" customWidth="1"/>
    <col min="2" max="2" width="18.19921875" style="3" bestFit="1" customWidth="1"/>
    <col min="3" max="3" width="24.59765625" style="3" customWidth="1"/>
    <col min="4" max="4" width="47.46484375" style="3" bestFit="1" customWidth="1"/>
    <col min="5" max="16384" width="9.06640625" style="3"/>
  </cols>
  <sheetData>
    <row r="1" spans="1:8" ht="44" customHeight="1" x14ac:dyDescent="0.85">
      <c r="A1" s="41" t="s">
        <v>48</v>
      </c>
      <c r="B1" s="2"/>
      <c r="C1" s="2"/>
      <c r="D1" s="2"/>
      <c r="E1" s="2"/>
      <c r="F1" s="2"/>
      <c r="G1" s="2"/>
      <c r="H1" s="2"/>
    </row>
    <row r="2" spans="1:8" x14ac:dyDescent="0.6">
      <c r="A2" s="42" t="s">
        <v>49</v>
      </c>
      <c r="B2" s="5"/>
      <c r="C2" s="5"/>
      <c r="D2" s="5"/>
      <c r="E2" s="5"/>
      <c r="F2" s="5"/>
      <c r="G2" s="5"/>
      <c r="H2" s="5"/>
    </row>
    <row r="3" spans="1:8" ht="10.050000000000001" customHeight="1" x14ac:dyDescent="0.6"/>
    <row r="4" spans="1:8" ht="28.05" customHeight="1" x14ac:dyDescent="0.6">
      <c r="A4" s="14" t="s">
        <v>50</v>
      </c>
      <c r="B4" s="15"/>
      <c r="C4" s="15"/>
      <c r="D4" s="15"/>
    </row>
    <row r="5" spans="1:8" ht="20" customHeight="1" x14ac:dyDescent="0.6">
      <c r="A5" s="16" t="s">
        <v>51</v>
      </c>
      <c r="B5" s="17"/>
      <c r="C5" s="16" t="s">
        <v>53</v>
      </c>
      <c r="D5" s="18"/>
    </row>
    <row r="6" spans="1:8" ht="28.05" customHeight="1" x14ac:dyDescent="0.75">
      <c r="A6" s="43">
        <f>B17</f>
        <v>6</v>
      </c>
      <c r="B6" s="20"/>
      <c r="C6" s="43">
        <f>B19</f>
        <v>500000000</v>
      </c>
      <c r="D6" s="22"/>
    </row>
    <row r="7" spans="1:8" ht="20" customHeight="1" x14ac:dyDescent="0.6">
      <c r="A7" s="23" t="s">
        <v>52</v>
      </c>
      <c r="B7" s="24"/>
      <c r="C7" s="23" t="s">
        <v>54</v>
      </c>
      <c r="D7" s="25"/>
    </row>
    <row r="8" spans="1:8" ht="10.050000000000001" customHeight="1" x14ac:dyDescent="0.6"/>
    <row r="9" spans="1:8" ht="28.05" customHeight="1" x14ac:dyDescent="0.6">
      <c r="A9" s="14" t="s">
        <v>55</v>
      </c>
      <c r="B9" s="15"/>
      <c r="C9" s="15"/>
      <c r="D9" s="15"/>
    </row>
    <row r="10" spans="1:8" ht="24" customHeight="1" x14ac:dyDescent="0.6">
      <c r="A10" s="26" t="s">
        <v>56</v>
      </c>
      <c r="B10" s="64">
        <v>300000000</v>
      </c>
      <c r="D10" s="44" t="s">
        <v>57</v>
      </c>
    </row>
    <row r="11" spans="1:8" ht="24" customHeight="1" x14ac:dyDescent="0.6">
      <c r="A11" s="26" t="s">
        <v>58</v>
      </c>
      <c r="B11" s="64">
        <v>50000000</v>
      </c>
      <c r="D11" s="44" t="s">
        <v>59</v>
      </c>
    </row>
    <row r="12" spans="1:8" ht="24" customHeight="1" x14ac:dyDescent="0.6">
      <c r="A12" s="26" t="s">
        <v>60</v>
      </c>
      <c r="B12" s="64">
        <v>1000000000</v>
      </c>
      <c r="D12" s="44" t="s">
        <v>61</v>
      </c>
    </row>
    <row r="13" spans="1:8" ht="24" customHeight="1" x14ac:dyDescent="0.6">
      <c r="A13" s="26" t="s">
        <v>62</v>
      </c>
      <c r="B13" s="76">
        <v>1500000000</v>
      </c>
      <c r="D13" s="44" t="s">
        <v>63</v>
      </c>
    </row>
    <row r="15" spans="1:8" ht="28.05" customHeight="1" x14ac:dyDescent="0.6">
      <c r="A15" s="14" t="s">
        <v>64</v>
      </c>
      <c r="B15" s="15"/>
      <c r="C15" s="15"/>
      <c r="D15" s="15"/>
    </row>
    <row r="16" spans="1:8" ht="22.05" customHeight="1" x14ac:dyDescent="0.6">
      <c r="A16" s="30" t="s">
        <v>65</v>
      </c>
      <c r="B16" s="31" t="s">
        <v>66</v>
      </c>
      <c r="C16" s="45" t="s">
        <v>67</v>
      </c>
      <c r="D16" s="34"/>
    </row>
    <row r="17" spans="1:4" ht="20" customHeight="1" x14ac:dyDescent="0.6">
      <c r="A17" s="32" t="s">
        <v>68</v>
      </c>
      <c r="B17" s="77">
        <f>B10/B11</f>
        <v>6</v>
      </c>
      <c r="C17" s="46" t="s">
        <v>69</v>
      </c>
      <c r="D17" s="34"/>
    </row>
    <row r="18" spans="1:4" ht="20" customHeight="1" x14ac:dyDescent="0.6">
      <c r="A18" s="35" t="s">
        <v>70</v>
      </c>
      <c r="B18" s="47" t="str">
        <f>IF(B17&lt;4,"🚨 NGUY HIỂM",IF(B17&lt;=8,"⚠️ TRUNG BÌNH","✅ AN TOÀN"))</f>
        <v>⚠️ TRUNG BÌNH</v>
      </c>
      <c r="C18" s="46" t="s">
        <v>71</v>
      </c>
      <c r="D18" s="34"/>
    </row>
    <row r="19" spans="1:4" ht="20" customHeight="1" x14ac:dyDescent="0.6">
      <c r="A19" s="32" t="s">
        <v>72</v>
      </c>
      <c r="B19" s="78">
        <f>MAX(0, B13-B12)</f>
        <v>500000000</v>
      </c>
      <c r="C19" s="46" t="s">
        <v>73</v>
      </c>
      <c r="D19" s="34"/>
    </row>
    <row r="20" spans="1:4" ht="20" customHeight="1" thickBot="1" x14ac:dyDescent="0.65">
      <c r="A20" s="48" t="s">
        <v>74</v>
      </c>
      <c r="B20" s="79" t="str">
        <f>IF(B19&gt;0,"🚨 THIẾU HẠN MỨC","✅ AN TOÀN TRÁCH NHIỆM")</f>
        <v>🚨 THIẾU HẠN MỨC</v>
      </c>
      <c r="C20" s="46" t="str">
        <f>IF(B19&gt;0,"🚨 RỦI RO LÂM SÀNG CỰC LỚN (Đe dọa trực tiếp đến gia sản cá nhân đứng tên bác sĩ!)","Đã cách ly rủi ro y khoa khỏi tài sản gia đình")</f>
        <v>🚨 RỦI RO LÂM SÀNG CỰC LỚN (Đe dọa trực tiếp đến gia sản cá nhân đứng tên bác sĩ!)</v>
      </c>
      <c r="D20" s="34"/>
    </row>
    <row r="21" spans="1:4" ht="16.899999999999999" thickTop="1" x14ac:dyDescent="0.6"/>
  </sheetData>
  <mergeCells count="16">
    <mergeCell ref="C20:D20"/>
    <mergeCell ref="A9:D9"/>
    <mergeCell ref="A15:D15"/>
    <mergeCell ref="C16:D16"/>
    <mergeCell ref="C17:D17"/>
    <mergeCell ref="C18:D18"/>
    <mergeCell ref="C19:D19"/>
    <mergeCell ref="A1:H1"/>
    <mergeCell ref="A2:H2"/>
    <mergeCell ref="A4:D4"/>
    <mergeCell ref="A5:B5"/>
    <mergeCell ref="A6:B6"/>
    <mergeCell ref="A7:B7"/>
    <mergeCell ref="C5:D5"/>
    <mergeCell ref="C6:D6"/>
    <mergeCell ref="C7:D7"/>
  </mergeCells>
  <conditionalFormatting sqref="B18">
    <cfRule type="cellIs" dxfId="7" priority="1" stopIfTrue="1" operator="equal">
      <formula>"🚨 NGUY HIỂM"</formula>
    </cfRule>
    <cfRule type="cellIs" dxfId="6" priority="2" stopIfTrue="1" operator="equal">
      <formula>"⚠️ TRUNG BÌNH"</formula>
    </cfRule>
    <cfRule type="cellIs" dxfId="5" priority="3" stopIfTrue="1" operator="equal">
      <formula>"✅ AN TOÀN"</formula>
    </cfRule>
  </conditionalFormatting>
  <conditionalFormatting sqref="B20">
    <cfRule type="cellIs" dxfId="4" priority="4" stopIfTrue="1" operator="equal">
      <formula>"🚨 THIẾU HẠN MỨC"</formula>
    </cfRule>
    <cfRule type="cellIs" dxfId="3" priority="5" stopIfTrue="1" operator="equal">
      <formula>"✅ AN TOÀN TRÁCH NHIỆM"</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F066D-502A-43AA-A8CB-43D550B82CBC}">
  <sheetPr>
    <tabColor rgb="FF527D2E"/>
  </sheetPr>
  <dimension ref="A1:H31"/>
  <sheetViews>
    <sheetView workbookViewId="0">
      <selection sqref="A1:H1"/>
    </sheetView>
  </sheetViews>
  <sheetFormatPr defaultRowHeight="16.5" x14ac:dyDescent="0.6"/>
  <cols>
    <col min="1" max="1" width="32" style="3" bestFit="1" customWidth="1"/>
    <col min="2" max="2" width="30.1328125" style="3" bestFit="1" customWidth="1"/>
    <col min="3" max="3" width="19.19921875" style="3" bestFit="1" customWidth="1"/>
    <col min="4" max="4" width="13.796875" style="3" bestFit="1" customWidth="1"/>
    <col min="5" max="5" width="13.33203125" style="3" bestFit="1" customWidth="1"/>
    <col min="6" max="6" width="22.59765625" style="3" customWidth="1"/>
    <col min="7" max="7" width="47.3984375" style="3" bestFit="1" customWidth="1"/>
    <col min="8" max="16384" width="9.06640625" style="3"/>
  </cols>
  <sheetData>
    <row r="1" spans="1:8" ht="44" customHeight="1" x14ac:dyDescent="0.85">
      <c r="A1" s="50" t="s">
        <v>75</v>
      </c>
      <c r="B1" s="2"/>
      <c r="C1" s="2"/>
      <c r="D1" s="2"/>
      <c r="E1" s="2"/>
      <c r="F1" s="2"/>
      <c r="G1" s="2"/>
      <c r="H1" s="2"/>
    </row>
    <row r="2" spans="1:8" x14ac:dyDescent="0.6">
      <c r="A2" s="51" t="s">
        <v>76</v>
      </c>
      <c r="B2" s="5"/>
      <c r="C2" s="5"/>
      <c r="D2" s="5"/>
      <c r="E2" s="5"/>
      <c r="F2" s="5"/>
      <c r="G2" s="5"/>
      <c r="H2" s="5"/>
    </row>
    <row r="3" spans="1:8" ht="10.050000000000001" customHeight="1" x14ac:dyDescent="0.6"/>
    <row r="4" spans="1:8" ht="28.05" customHeight="1" x14ac:dyDescent="0.6">
      <c r="A4" s="14" t="s">
        <v>77</v>
      </c>
      <c r="B4" s="15"/>
      <c r="C4" s="15"/>
      <c r="D4" s="15"/>
      <c r="E4" s="15"/>
      <c r="F4" s="15"/>
      <c r="G4" s="15"/>
    </row>
    <row r="5" spans="1:8" ht="24" customHeight="1" x14ac:dyDescent="0.6">
      <c r="A5" s="26" t="s">
        <v>78</v>
      </c>
      <c r="B5" s="64">
        <v>40</v>
      </c>
      <c r="G5" s="44" t="s">
        <v>79</v>
      </c>
    </row>
    <row r="6" spans="1:8" ht="24" customHeight="1" x14ac:dyDescent="0.6">
      <c r="A6" s="26" t="s">
        <v>80</v>
      </c>
      <c r="B6" s="52" t="s">
        <v>82</v>
      </c>
      <c r="G6" s="44" t="s">
        <v>81</v>
      </c>
    </row>
    <row r="8" spans="1:8" ht="28.05" customHeight="1" x14ac:dyDescent="0.6">
      <c r="A8" s="14" t="s">
        <v>83</v>
      </c>
      <c r="B8" s="15"/>
      <c r="C8" s="15"/>
      <c r="D8" s="15"/>
      <c r="E8" s="15"/>
      <c r="F8" s="15"/>
      <c r="G8" s="15"/>
    </row>
    <row r="9" spans="1:8" ht="22.05" customHeight="1" x14ac:dyDescent="0.6">
      <c r="A9" s="30" t="s">
        <v>84</v>
      </c>
      <c r="B9" s="31" t="s">
        <v>85</v>
      </c>
      <c r="C9" s="45" t="s">
        <v>86</v>
      </c>
      <c r="D9" s="34"/>
      <c r="E9" s="34"/>
      <c r="F9" s="34"/>
      <c r="G9" s="34"/>
    </row>
    <row r="10" spans="1:8" ht="20" customHeight="1" x14ac:dyDescent="0.6">
      <c r="A10" s="35" t="s">
        <v>87</v>
      </c>
      <c r="B10" s="80">
        <f>IF(B6="Thap",0.5,IF(B6="Trung Binh",0.4,0.3))</f>
        <v>0.4</v>
      </c>
      <c r="C10" s="46" t="s">
        <v>88</v>
      </c>
      <c r="D10" s="34"/>
      <c r="E10" s="34"/>
      <c r="F10" s="34"/>
      <c r="G10" s="34"/>
    </row>
    <row r="11" spans="1:8" ht="20" customHeight="1" x14ac:dyDescent="0.6">
      <c r="A11" s="35" t="s">
        <v>89</v>
      </c>
      <c r="B11" s="80">
        <f>IF(B6="Thap",0.4,IF(B6="Trung Binh",0.5,0.6))</f>
        <v>0.5</v>
      </c>
      <c r="C11" s="46" t="s">
        <v>90</v>
      </c>
      <c r="D11" s="34"/>
      <c r="E11" s="34"/>
      <c r="F11" s="34"/>
      <c r="G11" s="34"/>
    </row>
    <row r="12" spans="1:8" ht="20" customHeight="1" thickBot="1" x14ac:dyDescent="0.65">
      <c r="A12" s="48" t="s">
        <v>91</v>
      </c>
      <c r="B12" s="81">
        <f>0.1</f>
        <v>0.1</v>
      </c>
      <c r="C12" s="46" t="s">
        <v>92</v>
      </c>
      <c r="D12" s="34"/>
      <c r="E12" s="34"/>
      <c r="F12" s="34"/>
      <c r="G12" s="34"/>
    </row>
    <row r="13" spans="1:8" ht="16.899999999999999" thickTop="1" x14ac:dyDescent="0.6"/>
    <row r="15" spans="1:8" ht="28.05" customHeight="1" x14ac:dyDescent="0.6">
      <c r="A15" s="14" t="s">
        <v>93</v>
      </c>
      <c r="B15" s="15"/>
      <c r="C15" s="15"/>
      <c r="D15" s="15"/>
      <c r="E15" s="15"/>
      <c r="F15" s="15"/>
      <c r="G15" s="15"/>
    </row>
    <row r="16" spans="1:8" ht="22.05" customHeight="1" x14ac:dyDescent="0.6">
      <c r="A16" s="30" t="s">
        <v>94</v>
      </c>
      <c r="B16" s="30" t="s">
        <v>95</v>
      </c>
      <c r="C16" s="31" t="s">
        <v>96</v>
      </c>
      <c r="D16" s="45" t="s">
        <v>97</v>
      </c>
      <c r="E16" s="34"/>
      <c r="F16" s="34"/>
      <c r="G16" s="34"/>
    </row>
    <row r="17" spans="1:7" ht="22.05" customHeight="1" x14ac:dyDescent="0.6">
      <c r="A17" s="32" t="s">
        <v>98</v>
      </c>
      <c r="B17" s="32" t="s">
        <v>87</v>
      </c>
      <c r="C17" s="82">
        <v>200000000</v>
      </c>
      <c r="D17" s="53" t="s">
        <v>99</v>
      </c>
      <c r="E17" s="28"/>
      <c r="F17" s="28"/>
      <c r="G17" s="28"/>
    </row>
    <row r="18" spans="1:7" ht="22.05" customHeight="1" x14ac:dyDescent="0.6">
      <c r="A18" s="32" t="s">
        <v>100</v>
      </c>
      <c r="B18" s="32" t="s">
        <v>87</v>
      </c>
      <c r="C18" s="82">
        <v>50000000</v>
      </c>
      <c r="D18" s="53" t="s">
        <v>101</v>
      </c>
      <c r="E18" s="28"/>
      <c r="F18" s="28"/>
      <c r="G18" s="28"/>
    </row>
    <row r="19" spans="1:7" ht="22.05" customHeight="1" x14ac:dyDescent="0.6">
      <c r="A19" s="32" t="s">
        <v>102</v>
      </c>
      <c r="B19" s="32" t="s">
        <v>89</v>
      </c>
      <c r="C19" s="82">
        <v>150000000</v>
      </c>
      <c r="D19" s="53" t="s">
        <v>103</v>
      </c>
      <c r="E19" s="28"/>
      <c r="F19" s="28"/>
      <c r="G19" s="28"/>
    </row>
    <row r="20" spans="1:7" ht="22.05" customHeight="1" x14ac:dyDescent="0.6">
      <c r="A20" s="32" t="s">
        <v>104</v>
      </c>
      <c r="B20" s="32" t="s">
        <v>89</v>
      </c>
      <c r="C20" s="82">
        <v>2000000000</v>
      </c>
      <c r="D20" s="53" t="s">
        <v>105</v>
      </c>
      <c r="E20" s="28"/>
      <c r="F20" s="28"/>
      <c r="G20" s="28"/>
    </row>
    <row r="21" spans="1:7" ht="22.05" customHeight="1" x14ac:dyDescent="0.6">
      <c r="A21" s="32" t="s">
        <v>106</v>
      </c>
      <c r="B21" s="32" t="s">
        <v>91</v>
      </c>
      <c r="C21" s="82">
        <v>100000000</v>
      </c>
      <c r="D21" s="53" t="s">
        <v>107</v>
      </c>
      <c r="E21" s="28"/>
      <c r="F21" s="28"/>
      <c r="G21" s="28"/>
    </row>
    <row r="22" spans="1:7" ht="22.05" customHeight="1" x14ac:dyDescent="0.6">
      <c r="A22" s="32" t="s">
        <v>108</v>
      </c>
      <c r="B22" s="32" t="s">
        <v>91</v>
      </c>
      <c r="C22" s="82">
        <v>60000000</v>
      </c>
      <c r="D22" s="53" t="s">
        <v>109</v>
      </c>
      <c r="E22" s="28"/>
      <c r="F22" s="28"/>
      <c r="G22" s="28"/>
    </row>
    <row r="23" spans="1:7" ht="22.05" customHeight="1" x14ac:dyDescent="0.6">
      <c r="A23" s="32" t="s">
        <v>110</v>
      </c>
      <c r="B23" s="32" t="s">
        <v>91</v>
      </c>
      <c r="C23" s="83">
        <v>30000000</v>
      </c>
      <c r="D23" s="54" t="s">
        <v>111</v>
      </c>
      <c r="E23" s="28"/>
      <c r="F23" s="28"/>
      <c r="G23" s="28"/>
    </row>
    <row r="24" spans="1:7" ht="26" customHeight="1" thickBot="1" x14ac:dyDescent="0.65">
      <c r="A24" s="40" t="s">
        <v>112</v>
      </c>
      <c r="B24" s="55" t="s">
        <v>113</v>
      </c>
      <c r="C24" s="84">
        <f>SUM(C17:C23)</f>
        <v>2590000000</v>
      </c>
      <c r="D24" s="56" t="s">
        <v>114</v>
      </c>
      <c r="E24" s="34"/>
      <c r="F24" s="34"/>
      <c r="G24" s="34"/>
    </row>
    <row r="25" spans="1:7" ht="28.05" customHeight="1" thickTop="1" x14ac:dyDescent="0.6">
      <c r="A25" s="14" t="s">
        <v>115</v>
      </c>
      <c r="B25" s="15"/>
      <c r="C25" s="15"/>
      <c r="D25" s="15"/>
      <c r="E25" s="15"/>
      <c r="F25" s="15"/>
      <c r="G25" s="15"/>
    </row>
    <row r="26" spans="1:7" ht="22.05" customHeight="1" x14ac:dyDescent="0.6">
      <c r="A26" s="30" t="s">
        <v>116</v>
      </c>
      <c r="B26" s="31" t="s">
        <v>117</v>
      </c>
      <c r="C26" s="31" t="s">
        <v>118</v>
      </c>
      <c r="D26" s="31" t="s">
        <v>119</v>
      </c>
      <c r="E26" s="31" t="s">
        <v>120</v>
      </c>
      <c r="F26" s="45" t="s">
        <v>121</v>
      </c>
      <c r="G26" s="34"/>
    </row>
    <row r="27" spans="1:7" x14ac:dyDescent="0.6">
      <c r="B27" s="85"/>
      <c r="C27" s="85"/>
      <c r="D27" s="75"/>
      <c r="E27" s="85"/>
    </row>
    <row r="28" spans="1:7" ht="32" customHeight="1" x14ac:dyDescent="0.6">
      <c r="A28" s="35" t="s">
        <v>87</v>
      </c>
      <c r="B28" s="86">
        <f>D28/C24</f>
        <v>9.6525096525096526E-2</v>
      </c>
      <c r="C28" s="86">
        <f>B10</f>
        <v>0.4</v>
      </c>
      <c r="D28" s="65">
        <f>SUMIF(B17:B23,A28,C17:C23)</f>
        <v>250000000</v>
      </c>
      <c r="E28" s="80">
        <f>B28-C28</f>
        <v>-0.30347490347490347</v>
      </c>
      <c r="F28" s="57" t="str">
        <f>IF(E28&gt;0.05,"Cắt giảm " &amp; TEXT(E28*C24,"#,##0") &amp; " VND",IF(E28&lt;-0.05,"Bổ sung " &amp; TEXT(-E28*C24,"#,##0") &amp; " VND","Cân bằng tốt"))</f>
        <v>Bổ sung 786,000,000 VND</v>
      </c>
      <c r="G28" s="58"/>
    </row>
    <row r="29" spans="1:7" ht="32" customHeight="1" x14ac:dyDescent="0.6">
      <c r="A29" s="35" t="s">
        <v>89</v>
      </c>
      <c r="B29" s="86">
        <f>D29/C24</f>
        <v>0.83011583011583012</v>
      </c>
      <c r="C29" s="86">
        <f>B11</f>
        <v>0.5</v>
      </c>
      <c r="D29" s="65">
        <f>SUMIF(B17:B23,A29,C17:C23)</f>
        <v>2150000000</v>
      </c>
      <c r="E29" s="80">
        <f>B29-C29</f>
        <v>0.33011583011583012</v>
      </c>
      <c r="F29" s="57" t="str">
        <f>IF(E29&gt;0.05,"Cắt giảm " &amp; TEXT(E29*C24,"#,##0") &amp; " VND",IF(E29&lt;-0.05,"Bổ sung " &amp; TEXT(-E29*C24,"#,##0") &amp; " VND","Cân bằng tốt"))</f>
        <v>Cắt giảm 855,000,000 VND</v>
      </c>
      <c r="G29" s="58"/>
    </row>
    <row r="30" spans="1:7" ht="32" customHeight="1" thickBot="1" x14ac:dyDescent="0.65">
      <c r="A30" s="48" t="s">
        <v>91</v>
      </c>
      <c r="B30" s="59">
        <f>D30/C24</f>
        <v>7.3359073359073365E-2</v>
      </c>
      <c r="C30" s="59">
        <f>B12</f>
        <v>0.1</v>
      </c>
      <c r="D30" s="59">
        <f>SUMIF(B17:B23,A30,C17:C23)</f>
        <v>190000000</v>
      </c>
      <c r="E30" s="49">
        <f>B30-C30</f>
        <v>-2.664092664092664E-2</v>
      </c>
      <c r="F30" s="57" t="str">
        <f>IF(E30&gt;0.05,"Cắt giảm " &amp; TEXT(E30*C24,"#,##0") &amp; " VND",IF(E30&lt;-0.05,"Bổ sung " &amp; TEXT(-E30*C24,"#,##0") &amp; " VND","Cân bằng tốt"))</f>
        <v>Cân bằng tốt</v>
      </c>
      <c r="G30" s="58"/>
    </row>
    <row r="31" spans="1:7" ht="16.899999999999999" thickTop="1" x14ac:dyDescent="0.6"/>
  </sheetData>
  <mergeCells count="23">
    <mergeCell ref="A25:G25"/>
    <mergeCell ref="F26:G26"/>
    <mergeCell ref="F28:G28"/>
    <mergeCell ref="F29:G29"/>
    <mergeCell ref="F30:G30"/>
    <mergeCell ref="D19:G19"/>
    <mergeCell ref="D20:G20"/>
    <mergeCell ref="D21:G21"/>
    <mergeCell ref="D22:G22"/>
    <mergeCell ref="D23:G23"/>
    <mergeCell ref="D24:G24"/>
    <mergeCell ref="C11:G11"/>
    <mergeCell ref="C12:G12"/>
    <mergeCell ref="A15:G15"/>
    <mergeCell ref="D16:G16"/>
    <mergeCell ref="D17:G17"/>
    <mergeCell ref="D18:G18"/>
    <mergeCell ref="A1:H1"/>
    <mergeCell ref="A2:H2"/>
    <mergeCell ref="A4:G4"/>
    <mergeCell ref="A8:G8"/>
    <mergeCell ref="C9:G9"/>
    <mergeCell ref="C10:G10"/>
  </mergeCells>
  <conditionalFormatting sqref="E27:E29">
    <cfRule type="cellIs" dxfId="2" priority="1" stopIfTrue="1" operator="between">
      <formula>-0.05</formula>
      <formula>0.05</formula>
    </cfRule>
    <cfRule type="cellIs" dxfId="1" priority="2" stopIfTrue="1" operator="lessThan">
      <formula>-0.05</formula>
    </cfRule>
    <cfRule type="cellIs" dxfId="0" priority="3" stopIfTrue="1" operator="greaterThan">
      <formula>0.05</formula>
    </cfRule>
  </conditionalFormatting>
  <dataValidations count="1">
    <dataValidation type="list" allowBlank="1" showInputMessage="1" showErrorMessage="1" sqref="B6" xr:uid="{8ACC559F-6B34-48B3-B6A2-6BC60454E2BC}">
      <formula1>"Thap,Trung Binh,Cao"</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DD3B9-91C9-4D26-8967-F3A504DC668E}">
  <sheetPr>
    <tabColor rgb="FF073B4C"/>
  </sheetPr>
  <dimension ref="A1:H29"/>
  <sheetViews>
    <sheetView workbookViewId="0">
      <selection sqref="A1:H1"/>
    </sheetView>
  </sheetViews>
  <sheetFormatPr defaultRowHeight="16.5" x14ac:dyDescent="0.6"/>
  <cols>
    <col min="1" max="1" width="45.3984375" style="3" bestFit="1" customWidth="1"/>
    <col min="2" max="2" width="26.59765625" style="3" bestFit="1" customWidth="1"/>
    <col min="3" max="3" width="26.53125" style="3" bestFit="1" customWidth="1"/>
    <col min="4" max="4" width="48.53125" style="3" bestFit="1" customWidth="1"/>
    <col min="5" max="16384" width="9.06640625" style="3"/>
  </cols>
  <sheetData>
    <row r="1" spans="1:8" ht="44" customHeight="1" x14ac:dyDescent="0.85">
      <c r="A1" s="1" t="s">
        <v>122</v>
      </c>
      <c r="B1" s="2"/>
      <c r="C1" s="2"/>
      <c r="D1" s="2"/>
      <c r="E1" s="2"/>
      <c r="F1" s="2"/>
      <c r="G1" s="2"/>
      <c r="H1" s="2"/>
    </row>
    <row r="2" spans="1:8" x14ac:dyDescent="0.6">
      <c r="A2" s="4" t="s">
        <v>123</v>
      </c>
      <c r="B2" s="5"/>
      <c r="C2" s="5"/>
      <c r="D2" s="5"/>
      <c r="E2" s="5"/>
      <c r="F2" s="5"/>
      <c r="G2" s="5"/>
      <c r="H2" s="5"/>
    </row>
    <row r="3" spans="1:8" ht="10.050000000000001" customHeight="1" x14ac:dyDescent="0.6"/>
    <row r="4" spans="1:8" ht="28.05" customHeight="1" x14ac:dyDescent="0.6">
      <c r="A4" s="14" t="s">
        <v>124</v>
      </c>
      <c r="B4" s="15"/>
      <c r="C4" s="15"/>
      <c r="D4" s="15"/>
    </row>
    <row r="5" spans="1:8" ht="24" customHeight="1" x14ac:dyDescent="0.6">
      <c r="A5" s="26" t="s">
        <v>125</v>
      </c>
      <c r="B5" s="64">
        <v>25000000</v>
      </c>
      <c r="D5" s="44" t="s">
        <v>126</v>
      </c>
    </row>
    <row r="6" spans="1:8" ht="24" customHeight="1" x14ac:dyDescent="0.6">
      <c r="A6" s="26" t="s">
        <v>127</v>
      </c>
      <c r="B6" s="64">
        <f>'1.Khau Hao &amp; Thue'!D24/12</f>
        <v>2333333.3333333344</v>
      </c>
      <c r="D6" s="44" t="s">
        <v>128</v>
      </c>
    </row>
    <row r="7" spans="1:8" ht="24" customHeight="1" x14ac:dyDescent="0.6">
      <c r="A7" s="26" t="s">
        <v>129</v>
      </c>
      <c r="B7" s="60">
        <v>0.12</v>
      </c>
      <c r="D7" s="44" t="s">
        <v>130</v>
      </c>
    </row>
    <row r="8" spans="1:8" ht="24" customHeight="1" x14ac:dyDescent="0.6">
      <c r="A8" s="26" t="s">
        <v>131</v>
      </c>
      <c r="B8" s="76">
        <v>35000000</v>
      </c>
      <c r="D8" s="44" t="s">
        <v>132</v>
      </c>
    </row>
    <row r="10" spans="1:8" ht="28.05" customHeight="1" x14ac:dyDescent="0.6">
      <c r="A10" s="14" t="s">
        <v>133</v>
      </c>
      <c r="B10" s="15"/>
      <c r="C10" s="15"/>
      <c r="D10" s="15"/>
    </row>
    <row r="11" spans="1:8" ht="22.05" customHeight="1" x14ac:dyDescent="0.6">
      <c r="A11" s="30" t="s">
        <v>134</v>
      </c>
      <c r="B11" s="31" t="s">
        <v>135</v>
      </c>
      <c r="C11" s="31" t="s">
        <v>136</v>
      </c>
      <c r="D11" s="61" t="s">
        <v>137</v>
      </c>
    </row>
    <row r="12" spans="1:8" ht="22.05" customHeight="1" x14ac:dyDescent="0.6">
      <c r="A12" s="35" t="s">
        <v>138</v>
      </c>
      <c r="B12" s="69">
        <f>B8*12/0.04</f>
        <v>10500000000</v>
      </c>
      <c r="C12" s="87">
        <f>IF('3.Phan Bo 3 Lop'!C24&gt;=B12,0,IFERROR(NPER(B7/12,-(B5+B6),-'3.Phan Bo 3 Lop'!C24,B12)/12,"N/A"))</f>
        <v>7.6265405886502498</v>
      </c>
      <c r="D12" s="62" t="s">
        <v>139</v>
      </c>
    </row>
    <row r="13" spans="1:8" ht="22.05" customHeight="1" thickBot="1" x14ac:dyDescent="0.65">
      <c r="A13" s="35" t="s">
        <v>140</v>
      </c>
      <c r="B13" s="88">
        <f>B8*1.5*12/0.04</f>
        <v>15750000000</v>
      </c>
      <c r="C13" s="89">
        <f>IF('3.Phan Bo 3 Lop'!C24&gt;=B13,0,IFERROR(NPER(B7/12,-(B5+B6),-'3.Phan Bo 3 Lop'!C24,B13)/12,"N/A"))</f>
        <v>10.424860656543997</v>
      </c>
      <c r="D13" s="62" t="s">
        <v>141</v>
      </c>
    </row>
    <row r="14" spans="1:8" ht="16.899999999999999" thickTop="1" x14ac:dyDescent="0.6"/>
    <row r="15" spans="1:8" ht="28.05" customHeight="1" x14ac:dyDescent="0.6">
      <c r="A15" s="14" t="s">
        <v>142</v>
      </c>
      <c r="B15" s="15"/>
      <c r="C15" s="15"/>
      <c r="D15" s="15"/>
    </row>
    <row r="16" spans="1:8" ht="22.05" customHeight="1" x14ac:dyDescent="0.6">
      <c r="A16" s="30" t="s">
        <v>143</v>
      </c>
      <c r="B16" s="31" t="s">
        <v>144</v>
      </c>
      <c r="C16" s="31" t="s">
        <v>145</v>
      </c>
      <c r="D16" s="31" t="s">
        <v>146</v>
      </c>
    </row>
    <row r="17" spans="1:4" ht="20" customHeight="1" x14ac:dyDescent="0.6">
      <c r="A17" s="32">
        <v>1</v>
      </c>
      <c r="B17" s="90">
        <f>FV(B7/12, A17*12, -B5, -'3.Phan Bo 3 Lop'!C24)</f>
        <v>3235539403.3717265</v>
      </c>
      <c r="C17" s="90">
        <f>FV(B7/12, A17*12, -(B5+B6), -'3.Phan Bo 3 Lop'!C24)</f>
        <v>3265131910.4025192</v>
      </c>
      <c r="D17" s="91">
        <f>C17-B17</f>
        <v>29592507.030792713</v>
      </c>
    </row>
    <row r="18" spans="1:4" ht="20" customHeight="1" x14ac:dyDescent="0.6">
      <c r="A18" s="32">
        <v>2</v>
      </c>
      <c r="B18" s="90">
        <f>FV(B7/12, A18*12, -B5, -'3.Phan Bo 3 Lop'!C24)</f>
        <v>3962949361.0274477</v>
      </c>
      <c r="C18" s="90">
        <f>FV(B7/12, A18*12, -(B5+B6), -'3.Phan Bo 3 Lop'!C24)</f>
        <v>4025887445.6848946</v>
      </c>
      <c r="D18" s="91">
        <f>C18-B18</f>
        <v>62938084.657446861</v>
      </c>
    </row>
    <row r="19" spans="1:4" ht="20" customHeight="1" x14ac:dyDescent="0.6">
      <c r="A19" s="32">
        <v>3</v>
      </c>
      <c r="B19" s="90">
        <f>FV(B7/12, A19*12, -B5, -'3.Phan Bo 3 Lop'!C24)</f>
        <v>4782613108.4811478</v>
      </c>
      <c r="C19" s="90">
        <f>FV(B7/12, A19*12, -(B5+B6), -'3.Phan Bo 3 Lop'!C24)</f>
        <v>4883125824.6525164</v>
      </c>
      <c r="D19" s="91">
        <f>C19-B19</f>
        <v>100512716.1713686</v>
      </c>
    </row>
    <row r="20" spans="1:4" ht="20" customHeight="1" x14ac:dyDescent="0.6">
      <c r="A20" s="32">
        <v>4</v>
      </c>
      <c r="B20" s="90">
        <f>FV(B7/12, A20*12, -B5, -'3.Phan Bo 3 Lop'!C24)</f>
        <v>5706230735.4037485</v>
      </c>
      <c r="C20" s="90">
        <f>FV(B7/12, A20*12, -(B5+B6), -'3.Phan Bo 3 Lop'!C24)</f>
        <v>5849083486.8629904</v>
      </c>
      <c r="D20" s="91">
        <f>C20-B20</f>
        <v>142852751.45924187</v>
      </c>
    </row>
    <row r="21" spans="1:4" ht="20" customHeight="1" x14ac:dyDescent="0.6">
      <c r="A21" s="32">
        <v>5</v>
      </c>
      <c r="B21" s="90">
        <f>FV(B7/12, A21*12, -B5, -'3.Phan Bo 3 Lop'!C24)</f>
        <v>6746986195.6912251</v>
      </c>
      <c r="C21" s="90">
        <f>FV(B7/12, A21*12, -(B5+B6), -'3.Phan Bo 3 Lop'!C24)</f>
        <v>6937548758.6895123</v>
      </c>
      <c r="D21" s="91">
        <f>C21-B21</f>
        <v>190562562.9982872</v>
      </c>
    </row>
    <row r="22" spans="1:4" ht="20" customHeight="1" x14ac:dyDescent="0.6">
      <c r="A22" s="32">
        <v>6</v>
      </c>
      <c r="B22" s="90">
        <f>FV(B7/12, A22*12, -B5, -'3.Phan Bo 3 Lop'!C24)</f>
        <v>7919735498.5896749</v>
      </c>
      <c r="C22" s="90">
        <f>FV(B7/12, A22*12, -(B5+B6), -'3.Phan Bo 3 Lop'!C24)</f>
        <v>8164058671.4130392</v>
      </c>
      <c r="D22" s="91">
        <f>C22-B22</f>
        <v>244323172.82336426</v>
      </c>
    </row>
    <row r="23" spans="1:4" ht="20" customHeight="1" x14ac:dyDescent="0.6">
      <c r="A23" s="32">
        <v>7</v>
      </c>
      <c r="B23" s="90">
        <f>FV(B7/12, A23*12, -B5, -'3.Phan Bo 3 Lop'!C24)</f>
        <v>9241218767.1654663</v>
      </c>
      <c r="C23" s="90">
        <f>FV(B7/12, A23*12, -(B5+B6), -'3.Phan Bo 3 Lop'!C24)</f>
        <v>9546120740.7748871</v>
      </c>
      <c r="D23" s="91">
        <f>C23-B23</f>
        <v>304901973.60942078</v>
      </c>
    </row>
    <row r="24" spans="1:4" ht="20" customHeight="1" x14ac:dyDescent="0.6">
      <c r="A24" s="32">
        <v>8</v>
      </c>
      <c r="B24" s="90">
        <f>FV(B7/12, A24*12, -B5, -'3.Phan Bo 3 Lop'!C24)</f>
        <v>10730299191.097277</v>
      </c>
      <c r="C24" s="90">
        <f>FV(B7/12, A24*12, -(B5+B6), -'3.Phan Bo 3 Lop'!C24)</f>
        <v>11103462873.7278</v>
      </c>
      <c r="D24" s="91">
        <f>C24-B24</f>
        <v>373163682.63052368</v>
      </c>
    </row>
    <row r="25" spans="1:4" ht="20" customHeight="1" x14ac:dyDescent="0.6">
      <c r="A25" s="32">
        <v>9</v>
      </c>
      <c r="B25" s="90">
        <f>FV(B7/12, A25*12, -B5, -'3.Phan Bo 3 Lop'!C24)</f>
        <v>12408232284.663166</v>
      </c>
      <c r="C25" s="90">
        <f>FV(B7/12, A25*12, -(B5+B6), -'3.Phan Bo 3 Lop'!C24)</f>
        <v>12858314969.618256</v>
      </c>
      <c r="D25" s="91">
        <f>C25-B25</f>
        <v>450082684.95508957</v>
      </c>
    </row>
    <row r="26" spans="1:4" ht="20" customHeight="1" x14ac:dyDescent="0.6">
      <c r="A26" s="32">
        <v>10</v>
      </c>
      <c r="B26" s="90">
        <f>FV(B7/12, A26*12, -B5, -'3.Phan Bo 3 Lop'!C24)</f>
        <v>14298969293.379978</v>
      </c>
      <c r="C26" s="90">
        <f>FV(B7/12, A26*12, -(B5+B6), -'3.Phan Bo 3 Lop'!C24)</f>
        <v>14835726235.44717</v>
      </c>
      <c r="D26" s="91">
        <f>C26-B26</f>
        <v>536756942.06719208</v>
      </c>
    </row>
    <row r="27" spans="1:4" ht="20" customHeight="1" x14ac:dyDescent="0.6">
      <c r="A27" s="32">
        <v>15</v>
      </c>
      <c r="B27" s="90">
        <f>FV(B7/12, A27*12, -B5, -'3.Phan Bo 3 Lop'!C24)</f>
        <v>28018632054.562958</v>
      </c>
      <c r="C27" s="90">
        <f>FV(B7/12, A27*12, -(B5+B6), -'3.Phan Bo 3 Lop'!C24)</f>
        <v>29184319182.146065</v>
      </c>
      <c r="D27" s="91">
        <f>C27-B27</f>
        <v>1165687127.583107</v>
      </c>
    </row>
    <row r="28" spans="1:4" ht="20" customHeight="1" thickBot="1" x14ac:dyDescent="0.65">
      <c r="A28" s="63">
        <v>20</v>
      </c>
      <c r="B28" s="92">
        <f>FV(B7/12, A28*12, -B5, -'3.Phan Bo 3 Lop'!C24)</f>
        <v>52943098098.216782</v>
      </c>
      <c r="C28" s="92">
        <f>FV(B7/12, A28*12, -(B5+B6), -'3.Phan Bo 3 Lop'!C24)</f>
        <v>55251360617.453964</v>
      </c>
      <c r="D28" s="93">
        <f>C28-B28</f>
        <v>2308262519.2371826</v>
      </c>
    </row>
    <row r="29" spans="1:4" ht="16.899999999999999" thickTop="1" x14ac:dyDescent="0.6"/>
  </sheetData>
  <mergeCells count="5">
    <mergeCell ref="A1:H1"/>
    <mergeCell ref="A2:H2"/>
    <mergeCell ref="A4:D4"/>
    <mergeCell ref="A10:D10"/>
    <mergeCell ref="A15:D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0.Huong Dan</vt:lpstr>
      <vt:lpstr>1.Khau Hao &amp; Thue</vt:lpstr>
      <vt:lpstr>2.Runway &amp; Stress Test</vt:lpstr>
      <vt:lpstr>3.Phan Bo 3 Lop</vt:lpstr>
      <vt:lpstr>4.Lo Trinh FIRE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Surface</dc:creator>
  <cp:lastModifiedBy>Surface</cp:lastModifiedBy>
  <dcterms:created xsi:type="dcterms:W3CDTF">2026-05-25T23:52:37Z</dcterms:created>
  <dcterms:modified xsi:type="dcterms:W3CDTF">2026-05-25T23:52:42Z</dcterms:modified>
</cp:coreProperties>
</file>