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D:\Projects in Claude\nguyenngocung.com\"/>
    </mc:Choice>
  </mc:AlternateContent>
  <xr:revisionPtr revIDLastSave="0" documentId="8_{592E6486-6F84-4A59-8415-E9973DBEE462}" xr6:coauthVersionLast="47" xr6:coauthVersionMax="47" xr10:uidLastSave="{00000000-0000-0000-0000-000000000000}"/>
  <bookViews>
    <workbookView xWindow="-98" yWindow="-98" windowWidth="21795" windowHeight="13996" xr2:uid="{65535783-BB35-401F-B1BF-053100953963}"/>
  </bookViews>
  <sheets>
    <sheet name="0.Huong Dan" sheetId="1" r:id="rId1"/>
    <sheet name="1.Ban Do Bao Ve" sheetId="2" r:id="rId2"/>
    <sheet name="2.Quy Hoc Van" sheetId="3" r:id="rId3"/>
    <sheet name="3.Phan Bo 3 Lop" sheetId="4" r:id="rId4"/>
    <sheet name="4.Lo Trinh FIRE"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8" i="5" l="1"/>
  <c r="C28" i="5"/>
  <c r="B28" i="5"/>
  <c r="D27" i="5"/>
  <c r="C27" i="5"/>
  <c r="B27" i="5"/>
  <c r="D26" i="5"/>
  <c r="C26" i="5"/>
  <c r="B26" i="5"/>
  <c r="D25" i="5"/>
  <c r="C25" i="5"/>
  <c r="B25" i="5"/>
  <c r="D24" i="5"/>
  <c r="C24" i="5"/>
  <c r="B24" i="5"/>
  <c r="D23" i="5"/>
  <c r="C23" i="5"/>
  <c r="B23" i="5"/>
  <c r="D22" i="5"/>
  <c r="C22" i="5"/>
  <c r="B22" i="5"/>
  <c r="D21" i="5"/>
  <c r="C21" i="5"/>
  <c r="B21" i="5"/>
  <c r="D20" i="5"/>
  <c r="C20" i="5"/>
  <c r="B20" i="5"/>
  <c r="D19" i="5"/>
  <c r="C19" i="5"/>
  <c r="B19" i="5"/>
  <c r="D18" i="5"/>
  <c r="C18" i="5"/>
  <c r="B18" i="5"/>
  <c r="D17" i="5"/>
  <c r="C17" i="5"/>
  <c r="B17" i="5"/>
  <c r="C12" i="5"/>
  <c r="B12" i="5"/>
  <c r="C11" i="5"/>
  <c r="B11" i="5"/>
  <c r="F29" i="4"/>
  <c r="E29" i="4"/>
  <c r="D29" i="4"/>
  <c r="B29" i="4" s="1"/>
  <c r="C29" i="4"/>
  <c r="F28" i="4"/>
  <c r="E28" i="4"/>
  <c r="D28" i="4"/>
  <c r="B28" i="4" s="1"/>
  <c r="C28" i="4"/>
  <c r="F27" i="4"/>
  <c r="E27" i="4"/>
  <c r="D27" i="4"/>
  <c r="B27" i="4" s="1"/>
  <c r="C27" i="4"/>
  <c r="C24" i="4"/>
  <c r="B12" i="4"/>
  <c r="B11" i="4"/>
  <c r="B10" i="4"/>
  <c r="B22" i="3"/>
  <c r="B21" i="3"/>
  <c r="B20" i="3"/>
  <c r="B19" i="3"/>
  <c r="A6" i="3" s="1"/>
  <c r="B15" i="3"/>
  <c r="C6" i="3" s="1"/>
  <c r="B26" i="2"/>
  <c r="B25" i="2"/>
  <c r="B24" i="2"/>
  <c r="B23" i="2"/>
  <c r="B22" i="2"/>
  <c r="B21" i="2"/>
  <c r="B20" i="2"/>
  <c r="B19" i="2"/>
  <c r="A6" i="2"/>
  <c r="C6" i="2" l="1"/>
</calcChain>
</file>

<file path=xl/sharedStrings.xml><?xml version="1.0" encoding="utf-8"?>
<sst xmlns="http://schemas.openxmlformats.org/spreadsheetml/2006/main" count="167" uniqueCount="155">
  <si>
    <t>BẢN ĐỒ HOẠCH ĐỊNH TÀI CHÍNH DÀNH CHO PHỤ NỮ TỰ CHỦ &amp; SINGLE MOMS</t>
  </si>
  <si>
    <t>Công cụ Tự động hóa Phân bổ 3 Lớp, Cân đối Quỹ Giáo dục và Thiết lập Khiên Bảo vệ Sinh mệnh</t>
  </si>
  <si>
    <t>GIỚI THIỆU: HỆ THỐNG PHÁC ĐỒ TÀI CHÍNH TỰ CHỦ GIA ĐÌNH</t>
  </si>
  <si>
    <t>Chào bạn, những người phụ nữ bản lĩnh đang tự chủ cuộc sống của mình. Bản tính Excel này được thiết kế để giúp bạn rà soát lại cấu trúc tài chính gia đình, tính toán chính xác hạn mức bảo vệ để khắc phục rủi ro 'điểm nghẽn duy nhất' (Single Point of Failure), tối ưu hóa quỹ học tập du học cho con và phân tách ranh giới rõ ràng cho lộ trình hưu trí an nhàn của bản thân. Hãy điền các dữ liệu thực tế để kiến tạo hệ thống phòng vệ gia sản vững chãi.</t>
  </si>
  <si>
    <t>CẤU TRÚC HỆ THỐNG</t>
  </si>
  <si>
    <t>[1]  Tab 1: Ban Do Bao Ve    →   Tính toán độ rộng của đệm tiền mặt sinh tồn (Emergency Runway) và đo lường sự thiếu hụt các lá chắn sinh mệnh/bệnh hiểm nghèo của người trụ cột duy nhất.</t>
  </si>
  <si>
    <t>[2]  Tab 2: Quy Hoc Van       →   Xác định mục tiêu học tập của con và tính toán chính xác số tiền cần tích sản hàng tháng (Auto-DCA) bằng công cụ PMT chuyên nghiệp để khóa cứng quỹ giáo dục.</t>
  </si>
  <si>
    <t>[3]  Tab 3: Phan Bo 3 Lop    →   Đối chiếu tài sản hiện tại với khuyến nghị phân bổ 3 lớp phòng vệ (🛡️ Phòng Thủ, 📈 Tích Sản, 🚀 Cơ Hội). Có tích hợp biểu đồ rebalance trực quan.</t>
  </si>
  <si>
    <t>[4]  Tab 4: Lo Trinh FIRE    →   Mô phỏng năm độc lập tài chính và hưu trí độc lập của người mẹ. So sánh sức mạnh lãi kép của việc tích lũy sớm (Sớm 5 năm) để minh chứng chi phí cơ hội của việc trì hoãn.</t>
  </si>
  <si>
    <t>HƯỚNG DẪN SỬ DỤNG</t>
  </si>
  <si>
    <t>✔  Hãy điền dữ liệu đầu vào vào các ô màu vàng nhạt (ô có viền và nền vàng nhạt).</t>
  </si>
  <si>
    <t>✔  Các ô màu khác chứa công thức tự động tính toán, vui lòng không tự ý chỉnh sửa.</t>
  </si>
  <si>
    <t>✔  Toàn bộ dữ liệu được bảo mật offline trên máy tính cá nhân của bạn, an toàn tuyệt đối.</t>
  </si>
  <si>
    <t>✔  Sau khi điền, hãy quét mã QR/Zalo ở chân trang để đặt lịch hẹn rà soát chi tiết cùng Cố vấn Nguyễn Ngọc Ưng.</t>
  </si>
  <si>
    <t>THÔNG TIN CỐ VẤN ĐỒNG HÀNH</t>
  </si>
  <si>
    <t>Nguyễn Ngọc Ưng · Học viên Hoạch định Tài chính (Được hỗ trợ &amp; giám sát chuyên môn bởi Đội ngũ Chuyên gia FIDT)</t>
  </si>
  <si>
    <t>Zalo: 0826814678 · Website: www.nguyenngocung.com · Đặt hẹn tư vấn FHC: https://cal.com/ngocung-fidt/fhc-1on1</t>
  </si>
  <si>
    <t>PHẦN 1 — CHẨN ĐOÁN LỖ HỔNG PHÒNG VỆ SINH MỆNH GIA ĐÌNH</t>
  </si>
  <si>
    <t>Thiết lập các vách ngăn bảo vệ tài chính trước rủi ro 'điểm nghẽn thu nhập duy nhất'</t>
  </si>
  <si>
    <t>⚡  BẢNG CHỈ SỐ CẢNH BÁO RỦI RO SINH TỒN</t>
  </si>
  <si>
    <t>RUNWAY DỰ PHÒNG (THÁNG)</t>
  </si>
  <si>
    <t>Mức đệm tiền mặt sinh hoạt</t>
  </si>
  <si>
    <t>THIẾU HỤT BẢO VỆ (VND)</t>
  </si>
  <si>
    <t>Tổng lỗ hổng bảo hiểm cần vá</t>
  </si>
  <si>
    <t>📝  BƯỚC 1: NHẬP CONFIG PHÒNG VỆ &amp; CHI TIÊU GIA ĐÌNH</t>
  </si>
  <si>
    <t>Chi phí sinh hoạt hàng tháng của gia đình (VND)</t>
  </si>
  <si>
    <t>* Lối sống cơ bản (tiền nhà, tiền ăn học cho con, điện nước...)</t>
  </si>
  <si>
    <t>Số năm cần chu cấp cho con đến khi tự lập</t>
  </si>
  <si>
    <t>* Số năm tính từ tuổi con hiện tại cho đến khi con hoàn thành đại học (năm)</t>
  </si>
  <si>
    <t>Các khoản nợ hiện hữu của gia đình (VND)</t>
  </si>
  <si>
    <t>* Nợ vay mua nhà, vay ngân hàng, thẻ tín dụng (nếu có)</t>
  </si>
  <si>
    <t>Quỹ dự phòng khẩn cấp hiện có (VND)</t>
  </si>
  <si>
    <t>* Tiền mặt, số dư tài khoản thanh toán, sổ tiết kiệm online</t>
  </si>
  <si>
    <t>Hạn mức Bảo hiểm Nhân thọ hiện có (VND)</t>
  </si>
  <si>
    <t>* Số tiền chi trả sinh mạng trong hợp đồng bảo hiểm nhân thọ hiện tại</t>
  </si>
  <si>
    <t>Hạn mức Bảo hiểm Bệnh hiểm nghèo hiện có</t>
  </si>
  <si>
    <t>* Số tiền bảo hiểm chi trả một cục khi có chuẩn đoán bệnh hiểm nghèo</t>
  </si>
  <si>
    <t>📊  BƯỚC 2: CHẨN ĐOÁN VÀ THIẾT LẬP KHIÊN BẢO VỆ</t>
  </si>
  <si>
    <t>Chỉ số chẩn đoán hệ thống</t>
  </si>
  <si>
    <t>Giá trị tính toán</t>
  </si>
  <si>
    <t>Khuyến nghị từ phác đồ tự chủ tài chính</t>
  </si>
  <si>
    <t>Runway sinh tồn gia đình (Tháng)</t>
  </si>
  <si>
    <t>Với Single Mom, quỹ dự phòng cần dày hơn, tối thiểu từ 9-12 tháng.</t>
  </si>
  <si>
    <t>Đánh giá trạng thái Runway</t>
  </si>
  <si>
    <t>Nhu cầu bảo vệ sinh mệnh cần thiết (VND)</t>
  </si>
  <si>
    <t>Tính toán bằng giá trị hiện tại (TVM) hỗ trợ con 2.5% lãi suất thực.</t>
  </si>
  <si>
    <t>Lỗ hổng bảo vệ sinh mạng (VND)</t>
  </si>
  <si>
    <t>Khoảng trống rủi ro không có dòng tiền thay thế cho con khi mẹ vắng mặt.</t>
  </si>
  <si>
    <t>Đánh giá Vách ngăn Bảo hiểm nhân thọ</t>
  </si>
  <si>
    <t>Đề xuất gia cố thêm bảo hiểm tử kỳ (Term Life) chi phí thấp để lấp đầy.</t>
  </si>
  <si>
    <t>Nhu cầu bảo hiểm Bệnh hiểm nghèo (VND)</t>
  </si>
  <si>
    <t>Tương đương 2 năm sinh hoạt phí để nghỉ ngơi chữa bệnh mà con vẫn đủ tiền sinh sống.</t>
  </si>
  <si>
    <t>Lỗ hổng bảo hiểm Bệnh hiểm nghèo (VND)</t>
  </si>
  <si>
    <t>Khoảng tiền túi cá nhân tự trả nếu không may phát hiện bệnh hiểm nghèo.</t>
  </si>
  <si>
    <t>Đánh giá Lá chắn Bệnh hiểm nghèo</t>
  </si>
  <si>
    <t>Cần ưu tiên lấp đầy khoảng trống bệnh hiểm nghèo để khóa an toàn sức lao động.</t>
  </si>
  <si>
    <t>🎓  BẢNG CHỈ SỐ CONFIG QUỸ HỌC VẤN</t>
  </si>
  <si>
    <t>DCA HÀNG THÁNG CẦN THIẾT</t>
  </si>
  <si>
    <t>Trích tiền tự động định kỳ</t>
  </si>
  <si>
    <t>TỔNG MỤC TIÊU ĐÃ BÙ LẠM PHÁT</t>
  </si>
  <si>
    <t>Mục tiêu điều chỉnh lạm phát</t>
  </si>
  <si>
    <t>📝  BƯỚC 1: NHẬP CONFIG MỤC TIÊU VÀ LÃI SUẤT</t>
  </si>
  <si>
    <t>Tổng chi phí giáo dục mục tiêu hiện giá (VND)</t>
  </si>
  <si>
    <t>* Ví dụ: 1 tỷ VND (Quỹ học đại học trong nước + sinh hoạt phí hoặc học phí đại học quốc tế)</t>
  </si>
  <si>
    <t>Số năm còn lại cho đến khi con bắt đầu học (năm)</t>
  </si>
  <si>
    <t>* Khoảng thời gian tích lũy cho đến khi con đủ 18 tuổi bước vào đại học</t>
  </si>
  <si>
    <t>Số tiền hiện đã có sẵn dành riêng cho giáo dục (VND)</t>
  </si>
  <si>
    <t>* Tiền tiết kiệm hiện hữu chỉ dành cho quỹ học vấn của con</t>
  </si>
  <si>
    <t>Lợi suất đầu tư kỳ vọng hàng năm (%)</t>
  </si>
  <si>
    <t>* Gợi ý: 12% đối với rổ quỹ mở cổ phiếu tăng trưởng dài hạn</t>
  </si>
  <si>
    <t>Tỷ lệ lạm phát học phí giáo dục dự báo (%)</t>
  </si>
  <si>
    <t>* Lạm phát giáo dục thực tế tại Việt Nam thường dao động từ 5% - 8%</t>
  </si>
  <si>
    <t>Mục tiêu giáo dục điều chỉnh lạm phát (VND)</t>
  </si>
  <si>
    <t>* Giá trị tương lai cần tích lũy để bù đắp sự mất giá của đồng tiền</t>
  </si>
  <si>
    <t>📊  BƯỚC 2: CHẨN ĐOÁN LỘ TRÌNH TÍCH SẢN GIÁO DỤC GIẢI NGÂN</t>
  </si>
  <si>
    <t>Hạng mục chẩn đoán quỹ</t>
  </si>
  <si>
    <t>Bản đồ phân bổ &amp; Ý nghĩa lộ trình học tập</t>
  </si>
  <si>
    <t>Số tiền DCA cần trích ra hàng tháng (VND)</t>
  </si>
  <si>
    <t>DCA đều đặn giúp san phẳng biến động thị trường và khóa an toàn học vấn.</t>
  </si>
  <si>
    <t>Giá trị quỹ dự báo sau 5 năm tích lũy</t>
  </si>
  <si>
    <t>Giá trị tích lũy giai đoạn trung hạn (Lãi kép bắt đầu tăng tốc).</t>
  </si>
  <si>
    <t>Giá trị quỹ dự báo sau 10 năm tích lũy</t>
  </si>
  <si>
    <t>Tài sản tăng trưởng mạnh mẽ nhờ trích lũy liên tục và tái đầu tư lợi nhuận.</t>
  </si>
  <si>
    <t>Giá trị quỹ dự báo sau 15 năm tích lũy</t>
  </si>
  <si>
    <t>Giá trị tối đa của quỹ giáo dục khi con chuẩn bị đi du học hoặc cao học.</t>
  </si>
  <si>
    <t>PHẦN 3 — CƠ CẤU DANH MỤC 3 LỚP TÀI SẢN PHÒNG VỆ</t>
  </si>
  <si>
    <t>Chuyển thặng dư lớn thành tài sản tích lũy thực tế và loại bỏ lệch cấu trúc rủi ro</t>
  </si>
  <si>
    <t>⚙️  BƯỚC 1: NHẬP THÔNG TIN CẤU HÌNH PHÂN BỔ</t>
  </si>
  <si>
    <t>Tuổi hiện tại của người đầu tư</t>
  </si>
  <si>
    <t>* Dùng để phân bổ cấu trúc tài sản cân bằng tự động</t>
  </si>
  <si>
    <t>Khẩu vị chịu rủi ro đầu tư dài hạn</t>
  </si>
  <si>
    <t>* Chọn: Thap (Thận trọng), Trung Binh (Cân bằng), Cao (Tăng trưởng)</t>
  </si>
  <si>
    <t>Trung Binh</t>
  </si>
  <si>
    <t>🛡️  BƯỚC 2: TỶ LỆ KHUYẾN NGHỊ ĐẶC THÙ CHO PHỤ NỮ TỰ CHỦ</t>
  </si>
  <si>
    <t>Lớp tài sản khuyến nghị</t>
  </si>
  <si>
    <t>Tỷ lệ phân bổ mục tiêu (%)</t>
  </si>
  <si>
    <t>Ý nghĩa và vai trò trong hệ thống tài chính phòng vệ</t>
  </si>
  <si>
    <t>🛡️ Lớp Phòng Thủ (Core System)</t>
  </si>
  <si>
    <t>Bảo vệ gia đình khỏi rủi ro Single Point of Failure (mất sức lao động, y tế cấp bách).</t>
  </si>
  <si>
    <t>📈 Lớp Tích Sản (Scaled Production)</t>
  </si>
  <si>
    <t>Tạo tài sản ròng tăng trưởng tự động 0-CPU thông qua ETFs, quỹ mở và bất động sản cho thuê.</t>
  </si>
  <si>
    <t>🚀 Lớp Cơ Hội (Experimental Sandbox)</t>
  </si>
  <si>
    <t>Sandbox trải nghiệm cơ hội (kinh doanh riêng, cổ phiếu tự lướt sóng, crypto). Giới hạn tối đa 15%.</t>
  </si>
  <si>
    <t>🏦  BƯỚC 3: CHI TIẾT TÀI SẢN THỰC TẾ HIỆN TẠI DƯỚI DẠNG CONFIG</t>
  </si>
  <si>
    <t>Kênh đầu tư / Tài sản</t>
  </si>
  <si>
    <t>Lớp Tài Sản phân loại</t>
  </si>
  <si>
    <t>Số tiền hiện có (VND)</t>
  </si>
  <si>
    <t>Nơi lưu giữ / Tổ chức quản lý tài sản</t>
  </si>
  <si>
    <t>Tiền gửi &amp; tiết kiệm ngân hàng</t>
  </si>
  <si>
    <t>Sổ tiết kiệm dự phòng y tế gia đình</t>
  </si>
  <si>
    <t>Bảo hiểm sinh mạng &amp; Bệnh hiểm nghèo</t>
  </si>
  <si>
    <t>Đã đóng phí bảo hiểm thay thế thu nhập</t>
  </si>
  <si>
    <t>Chứng chỉ quỹ cổ phiếu (DCA học vấn)</t>
  </si>
  <si>
    <t>Quỹ mở cổ phiếu tích lũy đại học cho con</t>
  </si>
  <si>
    <t>Bất động sản chung cư cho thuê</t>
  </si>
  <si>
    <t>Căn hộ chung cư đứng tên riêng cho thuê</t>
  </si>
  <si>
    <t>Hùn vốn mở quán cà phê với bạn</t>
  </si>
  <si>
    <t>Dòng tiền không thanh khoản, rủi ro cao</t>
  </si>
  <si>
    <t>Vàng vật chất nhẫn trơn phòng thủ</t>
  </si>
  <si>
    <t>Nhẫn trơn vàng PNJ trữ két sắt gia đình</t>
  </si>
  <si>
    <t>Tiền số (Speculative Sandbox)</t>
  </si>
  <si>
    <t>Ví Binance trading lướt sóng</t>
  </si>
  <si>
    <t>TỔNG GIA SẢN ĐẦU TƯ THỰC TẾ</t>
  </si>
  <si>
    <t>Tổng cộng</t>
  </si>
  <si>
    <t>Tổng tài sản ròng đầu tư</t>
  </si>
  <si>
    <t>📊  BƯỚC 4: ĐỐI CHIẾU THỰC TẾ VS MỤC TIÊU &amp; CẢNH BÁO TÁI CÂN BẰNG</t>
  </si>
  <si>
    <t>Lớp Tài Sản</t>
  </si>
  <si>
    <t>% Thực Tế</t>
  </si>
  <si>
    <t>% Đề Xuất</t>
  </si>
  <si>
    <t>Thực tế (VND)</t>
  </si>
  <si>
    <t>Độ Lệch (%)</t>
  </si>
  <si>
    <t>Hành động tái cân bằng đề xuất (VND)</t>
  </si>
  <si>
    <t>PHẦN 4 — MÔ PHỎNG LỘ TRÌNH HƯU TRÍ ĐỘC LẬP CHO MẸ</t>
  </si>
  <si>
    <t>Định vị ranh giới dòng tiền để hưu trí tự chủ không trở thành gánh nặng của con cái</t>
  </si>
  <si>
    <t>⚙️  BƯỚC 1: THÔNG SỐ CONFIG TÀI SẢN &amp; THỪA DƯ TÍCH LŨY</t>
  </si>
  <si>
    <t>Số tiền tích lũy hưu trí cá nhân hàng tháng</t>
  </si>
  <si>
    <t>* Khoản thặng dư mẹ trích riêng cho bản thân mình (VND)</t>
  </si>
  <si>
    <t>Lãi suất kỳ vọng danh mục dài hạn (%)</t>
  </si>
  <si>
    <t>* Đề xuất: 12% danh mục quỹ mở cổ phiếu / ETFs (Auto-DCA 0-CPU)</t>
  </si>
  <si>
    <t>Chi phí hưu trí sinh hoạt cá nhân mong muốn/tháng</t>
  </si>
  <si>
    <t>* Chi tiêu cá nhân hưu trí an toàn không còn phụ thuộc vào việc livestream bán hàng</t>
  </si>
  <si>
    <t>🔮  BƯỚC 2: CÁC MỐC KHÁNH THÀNH HƯ TRÍ TỰ CHỦ</t>
  </si>
  <si>
    <t>Cột mốc hưu trí</t>
  </si>
  <si>
    <t>Giá trị quỹ cần thiết (VND)</t>
  </si>
  <si>
    <t>Số năm tích lũy từ mốc thực tế</t>
  </si>
  <si>
    <t>Chi tiết ý nghĩa vai trò bảo vệ di sản</t>
  </si>
  <si>
    <t>Lean FIRE (Hưu trí cơ bản, tự lo sinh hoạt)</t>
  </si>
  <si>
    <t>Tự chi trả cuộc sống cơ bản, tuyệt đối không phiền con.</t>
  </si>
  <si>
    <t>Fat FIRE (Hưu trí viên mãn, du lịch &amp; hỗ trợ con)</t>
  </si>
  <si>
    <t>Có thặng dư để hỗ trợ con lập nghiệp, tặng quà thế hệ sau.</t>
  </si>
  <si>
    <t>📈  BƯỚC 3: MÔ PHỎNG LÃI KÉP - SỨC MẠNH CỦA TÍCH LŨY SỚM (12%)</t>
  </si>
  <si>
    <t>Năm tích lũy</t>
  </si>
  <si>
    <t>Kịch bản A: Trì hoãn 5 năm mới đầu tư</t>
  </si>
  <si>
    <t>Kịch bản B: Tích lũy ngay bây giờ</t>
  </si>
  <si>
    <t>Tổn thất cơ hội do trì hoãn (VND)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</si>
</sst>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2" x14ac:knownFonts="1">
    <font>
      <sz val="11"/>
      <color theme="1"/>
      <name val="Calibri"/>
      <family val="2"/>
      <scheme val="minor"/>
    </font>
    <font>
      <b/>
      <sz val="16"/>
      <color rgb="FFFFFFFF"/>
      <name val="Segoe UI"/>
      <family val="2"/>
    </font>
    <font>
      <sz val="11"/>
      <color theme="1"/>
      <name val="Segoe UI"/>
      <family val="2"/>
    </font>
    <font>
      <sz val="10"/>
      <color rgb="FFFFFFFF"/>
      <name val="Segoe UI"/>
      <family val="2"/>
    </font>
    <font>
      <b/>
      <sz val="13"/>
      <color rgb="FFFFFFFF"/>
      <name val="Segoe UI"/>
      <family val="2"/>
    </font>
    <font>
      <sz val="10"/>
      <color rgb="FF6A7072"/>
      <name val="Segoe UI"/>
      <family val="2"/>
    </font>
    <font>
      <b/>
      <sz val="12"/>
      <color rgb="FFFFFFFF"/>
      <name val="Segoe UI"/>
      <family val="2"/>
    </font>
    <font>
      <b/>
      <sz val="11.5"/>
      <color rgb="FFFFFFFF"/>
      <name val="Segoe UI"/>
      <family val="2"/>
    </font>
    <font>
      <b/>
      <sz val="8.5"/>
      <color rgb="FF6A7072"/>
      <name val="Segoe UI"/>
      <family val="2"/>
    </font>
    <font>
      <b/>
      <sz val="15"/>
      <color rgb="FFC0392B"/>
      <name val="Segoe UI"/>
      <family val="2"/>
    </font>
    <font>
      <sz val="8.5"/>
      <color rgb="FF6A7072"/>
      <name val="Segoe UI"/>
      <family val="2"/>
    </font>
    <font>
      <b/>
      <sz val="10"/>
      <color rgb="FF3D1E4A"/>
      <name val="Segoe UI"/>
      <family val="2"/>
    </font>
    <font>
      <b/>
      <sz val="10"/>
      <color rgb="FF111111"/>
      <name val="Segoe UI"/>
      <family val="2"/>
    </font>
    <font>
      <i/>
      <sz val="8.5"/>
      <color rgb="FF6A7072"/>
      <name val="Segoe UI"/>
      <family val="2"/>
    </font>
    <font>
      <b/>
      <sz val="9.5"/>
      <color rgb="FF6A7072"/>
      <name val="Segoe UI"/>
      <family val="2"/>
    </font>
    <font>
      <sz val="9.5"/>
      <color rgb="FF111111"/>
      <name val="Segoe UI"/>
      <family val="2"/>
    </font>
    <font>
      <sz val="9"/>
      <color rgb="FF111111"/>
      <name val="Segoe UI"/>
      <family val="2"/>
    </font>
    <font>
      <b/>
      <sz val="9.5"/>
      <color rgb="FF111111"/>
      <name val="Segoe UI"/>
      <family val="2"/>
    </font>
    <font>
      <b/>
      <sz val="15"/>
      <color rgb="FF527D2E"/>
      <name val="Segoe UI"/>
      <family val="2"/>
    </font>
    <font>
      <b/>
      <sz val="15"/>
      <color rgb="FF3D1E4A"/>
      <name val="Segoe UI"/>
      <family val="2"/>
    </font>
    <font>
      <sz val="10"/>
      <color rgb="FF111111"/>
      <name val="Segoe UI"/>
      <family val="2"/>
    </font>
    <font>
      <b/>
      <sz val="10"/>
      <color rgb="FF527D2E"/>
      <name val="Segoe UI"/>
      <family val="2"/>
    </font>
    <font>
      <i/>
      <sz val="10"/>
      <color rgb="FF6A7072"/>
      <name val="Segoe UI"/>
      <family val="2"/>
    </font>
    <font>
      <b/>
      <sz val="10.5"/>
      <color rgb="FF3D1E4A"/>
      <name val="Segoe UI"/>
      <family val="2"/>
    </font>
    <font>
      <sz val="9"/>
      <color rgb="FF6A7072"/>
      <name val="Segoe UI"/>
      <family val="2"/>
    </font>
    <font>
      <b/>
      <sz val="10"/>
      <color rgb="FF111111"/>
      <name val="Consolas"/>
      <family val="3"/>
    </font>
    <font>
      <b/>
      <sz val="10.5"/>
      <color rgb="FF111111"/>
      <name val="Consolas"/>
      <family val="3"/>
    </font>
    <font>
      <b/>
      <sz val="10.5"/>
      <color rgb="FF527D2E"/>
      <name val="Consolas"/>
      <family val="3"/>
    </font>
    <font>
      <sz val="10"/>
      <color rgb="FF111111"/>
      <name val="Consolas"/>
      <family val="3"/>
    </font>
    <font>
      <b/>
      <sz val="11"/>
      <color rgb="FF3D1E4A"/>
      <name val="Consolas"/>
      <family val="3"/>
    </font>
    <font>
      <sz val="9.5"/>
      <color rgb="FF111111"/>
      <name val="Consolas"/>
      <family val="3"/>
    </font>
    <font>
      <b/>
      <sz val="9.5"/>
      <color rgb="FFC0392B"/>
      <name val="Consolas"/>
      <family val="3"/>
    </font>
  </fonts>
  <fills count="14">
    <fill>
      <patternFill patternType="none"/>
    </fill>
    <fill>
      <patternFill patternType="gray125"/>
    </fill>
    <fill>
      <patternFill patternType="solid">
        <fgColor rgb="FF3D1E4A"/>
        <bgColor indexed="64"/>
      </patternFill>
    </fill>
    <fill>
      <patternFill patternType="solid">
        <fgColor rgb="FF2D0E3A"/>
        <bgColor indexed="64"/>
      </patternFill>
    </fill>
    <fill>
      <patternFill patternType="solid">
        <fgColor rgb="FFFBF9F6"/>
        <bgColor indexed="64"/>
      </patternFill>
    </fill>
    <fill>
      <patternFill patternType="solid">
        <fgColor rgb="FFF4F1EB"/>
        <bgColor indexed="64"/>
      </patternFill>
    </fill>
    <fill>
      <patternFill patternType="solid">
        <fgColor rgb="FFD4AF37"/>
        <bgColor indexed="64"/>
      </patternFill>
    </fill>
    <fill>
      <patternFill patternType="solid">
        <fgColor rgb="FFFFFFFF"/>
        <bgColor indexed="64"/>
      </patternFill>
    </fill>
    <fill>
      <patternFill patternType="solid">
        <fgColor rgb="FFC0392B"/>
        <bgColor indexed="64"/>
      </patternFill>
    </fill>
    <fill>
      <patternFill patternType="solid">
        <fgColor rgb="FFB0291B"/>
        <bgColor indexed="64"/>
      </patternFill>
    </fill>
    <fill>
      <patternFill patternType="solid">
        <fgColor rgb="FFF0F8FF"/>
        <bgColor indexed="64"/>
      </patternFill>
    </fill>
    <fill>
      <patternFill patternType="solid">
        <fgColor rgb="FFDDDDDD"/>
        <bgColor indexed="64"/>
      </patternFill>
    </fill>
    <fill>
      <patternFill patternType="solid">
        <fgColor rgb="FF527D2E"/>
        <bgColor indexed="64"/>
      </patternFill>
    </fill>
    <fill>
      <patternFill patternType="solid">
        <fgColor rgb="FF426D1E"/>
        <bgColor indexed="64"/>
      </patternFill>
    </fill>
  </fills>
  <borders count="14">
    <border>
      <left/>
      <right/>
      <top/>
      <bottom/>
      <diagonal/>
    </border>
    <border>
      <left/>
      <right/>
      <top style="thin">
        <color rgb="FF88BBCC"/>
      </top>
      <bottom/>
      <diagonal/>
    </border>
    <border>
      <left style="thin">
        <color rgb="FF88BBCC"/>
      </left>
      <right/>
      <top style="thin">
        <color rgb="FF88BBCC"/>
      </top>
      <bottom/>
      <diagonal/>
    </border>
    <border>
      <left/>
      <right style="thin">
        <color rgb="FF88BBCC"/>
      </right>
      <top style="thin">
        <color rgb="FF88BBCC"/>
      </top>
      <bottom/>
      <diagonal/>
    </border>
    <border>
      <left style="thin">
        <color rgb="FF88BBCC"/>
      </left>
      <right/>
      <top/>
      <bottom/>
      <diagonal/>
    </border>
    <border>
      <left/>
      <right style="thin">
        <color rgb="FF88BBCC"/>
      </right>
      <top/>
      <bottom/>
      <diagonal/>
    </border>
    <border>
      <left/>
      <right/>
      <top/>
      <bottom style="thin">
        <color rgb="FF88BBCC"/>
      </bottom>
      <diagonal/>
    </border>
    <border>
      <left style="thin">
        <color rgb="FF88BBCC"/>
      </left>
      <right/>
      <top/>
      <bottom style="thin">
        <color rgb="FF88BBCC"/>
      </bottom>
      <diagonal/>
    </border>
    <border>
      <left/>
      <right style="thin">
        <color rgb="FF88BBCC"/>
      </right>
      <top/>
      <bottom style="thin">
        <color rgb="FF88BBCC"/>
      </bottom>
      <diagonal/>
    </border>
    <border>
      <left style="thin">
        <color rgb="FF88BBCC"/>
      </left>
      <right/>
      <top style="thin">
        <color rgb="FF88BBCC"/>
      </top>
      <bottom style="thin">
        <color rgb="FF88BBCC"/>
      </bottom>
      <diagonal/>
    </border>
    <border>
      <left style="thin">
        <color rgb="FF88BBCC"/>
      </left>
      <right style="thin">
        <color rgb="FF88BBCC"/>
      </right>
      <top style="thin">
        <color rgb="FF88BBCC"/>
      </top>
      <bottom style="thin">
        <color rgb="FF88BBCC"/>
      </bottom>
      <diagonal/>
    </border>
    <border>
      <left style="thin">
        <color rgb="FF88BBCC"/>
      </left>
      <right style="thin">
        <color rgb="FF88BBCC"/>
      </right>
      <top style="thin">
        <color rgb="FF88BBCC"/>
      </top>
      <bottom/>
      <diagonal/>
    </border>
    <border>
      <left/>
      <right/>
      <top style="thin">
        <color indexed="64"/>
      </top>
      <bottom style="double">
        <color indexed="64"/>
      </bottom>
      <diagonal/>
    </border>
    <border>
      <left/>
      <right/>
      <top style="thin">
        <color rgb="FF88BBCC"/>
      </top>
      <bottom style="double">
        <color indexed="64"/>
      </bottom>
      <diagonal/>
    </border>
  </borders>
  <cellStyleXfs count="1">
    <xf numFmtId="0" fontId="0" fillId="0" borderId="0"/>
  </cellStyleXfs>
  <cellXfs count="82">
    <xf numFmtId="0" fontId="0" fillId="0" borderId="0" xfId="0"/>
    <xf numFmtId="0" fontId="1" fillId="2" borderId="0" xfId="0" applyFont="1" applyFill="1" applyAlignment="1">
      <alignment horizontal="center"/>
    </xf>
    <xf numFmtId="0" fontId="2" fillId="0" borderId="0" xfId="0" applyFont="1" applyAlignment="1">
      <alignment horizontal="center"/>
    </xf>
    <xf numFmtId="0" fontId="2" fillId="0" borderId="0" xfId="0" applyFont="1"/>
    <xf numFmtId="0" fontId="3" fillId="3" borderId="0" xfId="0" applyFont="1" applyFill="1" applyAlignment="1">
      <alignment horizontal="center" wrapText="1"/>
    </xf>
    <xf numFmtId="0" fontId="2" fillId="0" borderId="0" xfId="0" applyFont="1" applyAlignment="1">
      <alignment horizontal="center" wrapText="1"/>
    </xf>
    <xf numFmtId="0" fontId="4" fillId="2" borderId="0" xfId="0" applyFont="1" applyFill="1" applyAlignment="1">
      <alignment horizontal="left" wrapText="1" indent="1"/>
    </xf>
    <xf numFmtId="0" fontId="5" fillId="4" borderId="0" xfId="0" applyFont="1" applyFill="1" applyAlignment="1">
      <alignment horizontal="left" wrapText="1" indent="2"/>
    </xf>
    <xf numFmtId="0" fontId="5" fillId="5" borderId="0" xfId="0" applyFont="1" applyFill="1" applyAlignment="1">
      <alignment horizontal="left" wrapText="1" indent="2"/>
    </xf>
    <xf numFmtId="0" fontId="4" fillId="6" borderId="0" xfId="0" applyFont="1" applyFill="1" applyAlignment="1">
      <alignment horizontal="left" wrapText="1" indent="1"/>
    </xf>
    <xf numFmtId="0" fontId="5" fillId="7" borderId="0" xfId="0" applyFont="1" applyFill="1" applyAlignment="1">
      <alignment horizontal="left" wrapText="1" indent="2"/>
    </xf>
    <xf numFmtId="0" fontId="6" fillId="2" borderId="0" xfId="0" applyFont="1" applyFill="1" applyAlignment="1">
      <alignment horizontal="left" wrapText="1" indent="1"/>
    </xf>
    <xf numFmtId="0" fontId="1" fillId="8" borderId="0" xfId="0" applyFont="1" applyFill="1" applyAlignment="1">
      <alignment horizontal="center"/>
    </xf>
    <xf numFmtId="0" fontId="3" fillId="9" borderId="0" xfId="0" applyFont="1" applyFill="1" applyAlignment="1">
      <alignment horizontal="center" wrapText="1"/>
    </xf>
    <xf numFmtId="0" fontId="7" fillId="2" borderId="0" xfId="0" applyFont="1" applyFill="1" applyAlignment="1">
      <alignment horizontal="left" indent="1"/>
    </xf>
    <xf numFmtId="0" fontId="2" fillId="0" borderId="0" xfId="0" applyFont="1" applyAlignment="1">
      <alignment horizontal="left" indent="1"/>
    </xf>
    <xf numFmtId="0" fontId="8" fillId="4" borderId="2" xfId="0" applyFont="1" applyFill="1" applyBorder="1" applyAlignment="1">
      <alignment horizontal="center"/>
    </xf>
    <xf numFmtId="0" fontId="2" fillId="0" borderId="1" xfId="0" applyFont="1" applyBorder="1" applyAlignment="1">
      <alignment horizontal="center"/>
    </xf>
    <xf numFmtId="0" fontId="2" fillId="0" borderId="3" xfId="0" applyFont="1" applyBorder="1" applyAlignment="1">
      <alignment horizontal="center"/>
    </xf>
    <xf numFmtId="0" fontId="9" fillId="4" borderId="4" xfId="0" applyFont="1" applyFill="1" applyBorder="1" applyAlignment="1">
      <alignment horizontal="center"/>
    </xf>
    <xf numFmtId="0" fontId="2" fillId="0" borderId="0" xfId="0" applyFont="1" applyBorder="1" applyAlignment="1">
      <alignment horizontal="center"/>
    </xf>
    <xf numFmtId="0" fontId="2" fillId="0" borderId="5" xfId="0" applyFont="1" applyBorder="1" applyAlignment="1">
      <alignment horizontal="center"/>
    </xf>
    <xf numFmtId="0" fontId="10" fillId="4" borderId="7" xfId="0" applyFont="1" applyFill="1" applyBorder="1" applyAlignment="1">
      <alignment horizontal="center"/>
    </xf>
    <xf numFmtId="0" fontId="2" fillId="0" borderId="6" xfId="0" applyFont="1" applyBorder="1" applyAlignment="1">
      <alignment horizontal="center"/>
    </xf>
    <xf numFmtId="0" fontId="2" fillId="0" borderId="8" xfId="0" applyFont="1" applyBorder="1" applyAlignment="1">
      <alignment horizontal="center"/>
    </xf>
    <xf numFmtId="0" fontId="11" fillId="0" borderId="0" xfId="0" applyFont="1" applyAlignment="1">
      <alignment wrapText="1"/>
    </xf>
    <xf numFmtId="0" fontId="13" fillId="0" borderId="0" xfId="0" applyFont="1" applyAlignment="1">
      <alignment wrapText="1"/>
    </xf>
    <xf numFmtId="0" fontId="11" fillId="11" borderId="0" xfId="0" applyFont="1" applyFill="1" applyAlignment="1">
      <alignment horizontal="left"/>
    </xf>
    <xf numFmtId="164" fontId="11" fillId="11" borderId="0" xfId="0" applyNumberFormat="1" applyFont="1" applyFill="1" applyAlignment="1">
      <alignment horizontal="center"/>
    </xf>
    <xf numFmtId="0" fontId="14" fillId="11" borderId="0" xfId="0" applyFont="1" applyFill="1" applyAlignment="1">
      <alignment horizontal="left"/>
    </xf>
    <xf numFmtId="0" fontId="2" fillId="0" borderId="0" xfId="0" applyFont="1" applyAlignment="1">
      <alignment horizontal="left"/>
    </xf>
    <xf numFmtId="0" fontId="15" fillId="0" borderId="0" xfId="0" applyFont="1" applyAlignment="1">
      <alignment horizontal="left"/>
    </xf>
    <xf numFmtId="0" fontId="16" fillId="0" borderId="0" xfId="0" applyFont="1" applyAlignment="1">
      <alignment horizontal="left"/>
    </xf>
    <xf numFmtId="0" fontId="17" fillId="0" borderId="0" xfId="0" applyFont="1" applyAlignment="1">
      <alignment horizontal="left"/>
    </xf>
    <xf numFmtId="0" fontId="17" fillId="0" borderId="12" xfId="0" applyFont="1" applyBorder="1" applyAlignment="1">
      <alignment horizontal="left"/>
    </xf>
    <xf numFmtId="0" fontId="18" fillId="4" borderId="4" xfId="0" applyFont="1" applyFill="1" applyBorder="1" applyAlignment="1">
      <alignment horizontal="center"/>
    </xf>
    <xf numFmtId="0" fontId="19" fillId="4" borderId="4" xfId="0" applyFont="1" applyFill="1" applyBorder="1" applyAlignment="1">
      <alignment horizontal="center"/>
    </xf>
    <xf numFmtId="0" fontId="11" fillId="11" borderId="0" xfId="0" applyFont="1" applyFill="1" applyAlignment="1">
      <alignment horizontal="center"/>
    </xf>
    <xf numFmtId="0" fontId="15" fillId="0" borderId="12" xfId="0" applyFont="1" applyBorder="1" applyAlignment="1">
      <alignment horizontal="left"/>
    </xf>
    <xf numFmtId="0" fontId="1" fillId="12" borderId="0" xfId="0" applyFont="1" applyFill="1" applyAlignment="1">
      <alignment horizontal="center"/>
    </xf>
    <xf numFmtId="0" fontId="3" fillId="13" borderId="0" xfId="0" applyFont="1" applyFill="1" applyAlignment="1">
      <alignment horizontal="center" wrapText="1"/>
    </xf>
    <xf numFmtId="0" fontId="7" fillId="12" borderId="0" xfId="0" applyFont="1" applyFill="1" applyAlignment="1">
      <alignment horizontal="left" indent="1"/>
    </xf>
    <xf numFmtId="0" fontId="21" fillId="11" borderId="0" xfId="0" applyFont="1" applyFill="1" applyAlignment="1">
      <alignment horizontal="left"/>
    </xf>
    <xf numFmtId="0" fontId="21" fillId="11" borderId="0" xfId="0" applyFont="1" applyFill="1" applyAlignment="1">
      <alignment horizontal="center"/>
    </xf>
    <xf numFmtId="165" fontId="12" fillId="7" borderId="0" xfId="0" applyNumberFormat="1" applyFont="1" applyFill="1" applyAlignment="1">
      <alignment horizontal="center"/>
    </xf>
    <xf numFmtId="165" fontId="12" fillId="7" borderId="12" xfId="0" applyNumberFormat="1" applyFont="1" applyFill="1" applyBorder="1" applyAlignment="1">
      <alignment horizontal="center"/>
    </xf>
    <xf numFmtId="0" fontId="22" fillId="10" borderId="11" xfId="0" applyFont="1" applyFill="1" applyBorder="1" applyAlignment="1">
      <alignment wrapText="1"/>
    </xf>
    <xf numFmtId="0" fontId="2" fillId="0" borderId="0" xfId="0" applyFont="1" applyAlignment="1">
      <alignment wrapText="1"/>
    </xf>
    <xf numFmtId="0" fontId="22" fillId="10" borderId="10" xfId="0" applyFont="1" applyFill="1" applyBorder="1" applyAlignment="1">
      <alignment wrapText="1"/>
    </xf>
    <xf numFmtId="0" fontId="23" fillId="4" borderId="12" xfId="0" applyFont="1" applyFill="1" applyBorder="1" applyAlignment="1">
      <alignment horizontal="left"/>
    </xf>
    <xf numFmtId="0" fontId="14" fillId="4" borderId="12" xfId="0" applyFont="1" applyFill="1" applyBorder="1" applyAlignment="1">
      <alignment horizontal="left"/>
    </xf>
    <xf numFmtId="0" fontId="24" fillId="4" borderId="0" xfId="0" applyFont="1" applyFill="1" applyAlignment="1">
      <alignment horizontal="left"/>
    </xf>
    <xf numFmtId="0" fontId="15" fillId="7" borderId="0" xfId="0" applyFont="1" applyFill="1" applyAlignment="1">
      <alignment horizontal="left" wrapText="1"/>
    </xf>
    <xf numFmtId="0" fontId="2" fillId="0" borderId="0" xfId="0" applyFont="1" applyAlignment="1">
      <alignment horizontal="left" wrapText="1"/>
    </xf>
    <xf numFmtId="0" fontId="14" fillId="11" borderId="0" xfId="0" applyFont="1" applyFill="1" applyAlignment="1">
      <alignment horizontal="left"/>
    </xf>
    <xf numFmtId="0" fontId="20" fillId="0" borderId="0" xfId="0" applyFont="1" applyAlignment="1">
      <alignment horizontal="left"/>
    </xf>
    <xf numFmtId="3" fontId="25" fillId="10" borderId="11" xfId="0" applyNumberFormat="1" applyFont="1" applyFill="1" applyBorder="1" applyAlignment="1">
      <alignment wrapText="1"/>
    </xf>
    <xf numFmtId="3" fontId="25" fillId="10" borderId="10" xfId="0" applyNumberFormat="1" applyFont="1" applyFill="1" applyBorder="1" applyAlignment="1">
      <alignment wrapText="1"/>
    </xf>
    <xf numFmtId="3" fontId="26" fillId="7" borderId="0" xfId="0" applyNumberFormat="1" applyFont="1" applyFill="1" applyAlignment="1">
      <alignment horizontal="center"/>
    </xf>
    <xf numFmtId="0" fontId="25" fillId="7" borderId="0" xfId="0" applyFont="1" applyFill="1" applyAlignment="1">
      <alignment horizontal="center"/>
    </xf>
    <xf numFmtId="0" fontId="25" fillId="7" borderId="12" xfId="0" applyFont="1" applyFill="1" applyBorder="1" applyAlignment="1">
      <alignment horizontal="center"/>
    </xf>
    <xf numFmtId="165" fontId="25" fillId="10" borderId="11" xfId="0" applyNumberFormat="1" applyFont="1" applyFill="1" applyBorder="1" applyAlignment="1">
      <alignment wrapText="1"/>
    </xf>
    <xf numFmtId="3" fontId="25" fillId="7" borderId="10" xfId="0" applyNumberFormat="1" applyFont="1" applyFill="1" applyBorder="1" applyAlignment="1">
      <alignment horizontal="center" wrapText="1"/>
    </xf>
    <xf numFmtId="3" fontId="27" fillId="7" borderId="0" xfId="0" applyNumberFormat="1" applyFont="1" applyFill="1" applyAlignment="1">
      <alignment horizontal="center"/>
    </xf>
    <xf numFmtId="3" fontId="28" fillId="7" borderId="0" xfId="0" applyNumberFormat="1" applyFont="1" applyFill="1" applyAlignment="1">
      <alignment horizontal="center"/>
    </xf>
    <xf numFmtId="3" fontId="28" fillId="7" borderId="12" xfId="0" applyNumberFormat="1" applyFont="1" applyFill="1" applyBorder="1" applyAlignment="1">
      <alignment horizontal="center"/>
    </xf>
    <xf numFmtId="0" fontId="25" fillId="10" borderId="10" xfId="0" applyFont="1" applyFill="1" applyBorder="1" applyAlignment="1">
      <alignment wrapText="1"/>
    </xf>
    <xf numFmtId="3" fontId="25" fillId="10" borderId="2" xfId="0" applyNumberFormat="1" applyFont="1" applyFill="1" applyBorder="1" applyAlignment="1">
      <alignment horizontal="center" wrapText="1"/>
    </xf>
    <xf numFmtId="3" fontId="25" fillId="10" borderId="9" xfId="0" applyNumberFormat="1" applyFont="1" applyFill="1" applyBorder="1" applyAlignment="1">
      <alignment horizontal="center" wrapText="1"/>
    </xf>
    <xf numFmtId="3" fontId="29" fillId="4" borderId="13" xfId="0" applyNumberFormat="1" applyFont="1" applyFill="1" applyBorder="1" applyAlignment="1">
      <alignment horizontal="center"/>
    </xf>
    <xf numFmtId="165" fontId="28" fillId="7" borderId="0" xfId="0" applyNumberFormat="1" applyFont="1" applyFill="1" applyAlignment="1">
      <alignment horizontal="center"/>
    </xf>
    <xf numFmtId="165" fontId="25" fillId="7" borderId="0" xfId="0" applyNumberFormat="1" applyFont="1" applyFill="1" applyAlignment="1">
      <alignment horizontal="center"/>
    </xf>
    <xf numFmtId="165" fontId="28" fillId="7" borderId="12" xfId="0" applyNumberFormat="1" applyFont="1" applyFill="1" applyBorder="1" applyAlignment="1">
      <alignment horizontal="center"/>
    </xf>
    <xf numFmtId="165" fontId="25" fillId="7" borderId="12" xfId="0" applyNumberFormat="1" applyFont="1" applyFill="1" applyBorder="1" applyAlignment="1">
      <alignment horizontal="center"/>
    </xf>
    <xf numFmtId="3" fontId="25" fillId="7" borderId="0" xfId="0" applyNumberFormat="1" applyFont="1" applyFill="1" applyAlignment="1">
      <alignment horizontal="center"/>
    </xf>
    <xf numFmtId="164" fontId="27" fillId="7" borderId="0" xfId="0" applyNumberFormat="1" applyFont="1" applyFill="1" applyAlignment="1">
      <alignment horizontal="center"/>
    </xf>
    <xf numFmtId="3" fontId="25" fillId="7" borderId="12" xfId="0" applyNumberFormat="1" applyFont="1" applyFill="1" applyBorder="1" applyAlignment="1">
      <alignment horizontal="center"/>
    </xf>
    <xf numFmtId="164" fontId="27" fillId="7" borderId="12" xfId="0" applyNumberFormat="1" applyFont="1" applyFill="1" applyBorder="1" applyAlignment="1">
      <alignment horizontal="center"/>
    </xf>
    <xf numFmtId="3" fontId="30" fillId="7" borderId="0" xfId="0" applyNumberFormat="1" applyFont="1" applyFill="1" applyAlignment="1">
      <alignment horizontal="center"/>
    </xf>
    <xf numFmtId="3" fontId="31" fillId="7" borderId="0" xfId="0" applyNumberFormat="1" applyFont="1" applyFill="1" applyAlignment="1">
      <alignment horizontal="center"/>
    </xf>
    <xf numFmtId="3" fontId="30" fillId="7" borderId="12" xfId="0" applyNumberFormat="1" applyFont="1" applyFill="1" applyBorder="1" applyAlignment="1">
      <alignment horizontal="center"/>
    </xf>
    <xf numFmtId="3" fontId="31" fillId="7" borderId="12" xfId="0" applyNumberFormat="1" applyFont="1" applyFill="1" applyBorder="1" applyAlignment="1">
      <alignment horizontal="center"/>
    </xf>
  </cellXfs>
  <cellStyles count="1">
    <cellStyle name="Normal" xfId="0" builtinId="0"/>
  </cellStyles>
  <dxfs count="10">
    <dxf>
      <font>
        <color rgb="FFC0392B"/>
      </font>
      <fill>
        <patternFill>
          <bgColor rgb="FFF8D7DA"/>
        </patternFill>
      </fill>
    </dxf>
    <dxf>
      <font>
        <color rgb="FFC0392B"/>
      </font>
      <fill>
        <patternFill>
          <bgColor rgb="FFF8D7DA"/>
        </patternFill>
      </fill>
    </dxf>
    <dxf>
      <font>
        <color rgb="FF527D2E"/>
      </font>
      <fill>
        <patternFill>
          <bgColor rgb="FFD4EDDA"/>
        </patternFill>
      </fill>
    </dxf>
    <dxf>
      <font>
        <color rgb="FF527D2E"/>
      </font>
      <fill>
        <patternFill>
          <bgColor rgb="FFD4EDDA"/>
        </patternFill>
      </fill>
    </dxf>
    <dxf>
      <font>
        <color rgb="FFC0392B"/>
      </font>
      <fill>
        <patternFill>
          <bgColor rgb="FFF8D7DA"/>
        </patternFill>
      </fill>
    </dxf>
    <dxf>
      <font>
        <color rgb="FF527D2E"/>
      </font>
      <fill>
        <patternFill>
          <bgColor rgb="FFD4EDDA"/>
        </patternFill>
      </fill>
    </dxf>
    <dxf>
      <font>
        <color rgb="FFC0392B"/>
      </font>
      <fill>
        <patternFill>
          <bgColor rgb="FFF8D7DA"/>
        </patternFill>
      </fill>
    </dxf>
    <dxf>
      <font>
        <color rgb="FF527D2E"/>
      </font>
      <fill>
        <patternFill>
          <bgColor rgb="FFD4EDDA"/>
        </patternFill>
      </fill>
    </dxf>
    <dxf>
      <font>
        <color rgb="FF111111"/>
      </font>
      <fill>
        <patternFill>
          <bgColor rgb="FFCDF3FF"/>
        </patternFill>
      </fill>
    </dxf>
    <dxf>
      <font>
        <color rgb="FFC0392B"/>
      </font>
      <fill>
        <patternFill>
          <bgColor rgb="FFF8D7DA"/>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vi-VN"/>
              <a:t>Cơ Cấu Danh Mục 3 Lớp Phụ Nữ Tự Chủ: Thực Tế vs. Mục Tiêu</a:t>
            </a:r>
          </a:p>
        </c:rich>
      </c:tx>
      <c:overlay val="0"/>
    </c:title>
    <c:autoTitleDeleted val="0"/>
    <c:plotArea>
      <c:layout/>
      <c:barChart>
        <c:barDir val="col"/>
        <c:grouping val="clustered"/>
        <c:varyColors val="0"/>
        <c:ser>
          <c:idx val="0"/>
          <c:order val="0"/>
          <c:tx>
            <c:strRef>
              <c:f>'3.Phan Bo 3 Lop'!$B$26</c:f>
              <c:strCache>
                <c:ptCount val="1"/>
                <c:pt idx="0">
                  <c:v>% Thực Tế</c:v>
                </c:pt>
              </c:strCache>
            </c:strRef>
          </c:tx>
          <c:invertIfNegative val="0"/>
          <c:cat>
            <c:strRef>
              <c:f>'3.Phan Bo 3 Lop'!$A$27:$A$29</c:f>
              <c:strCache>
                <c:ptCount val="3"/>
                <c:pt idx="0">
                  <c:v>🛡️ Lớp Phòng Thủ (Core System)</c:v>
                </c:pt>
                <c:pt idx="1">
                  <c:v>📈 Lớp Tích Sản (Scaled Production)</c:v>
                </c:pt>
                <c:pt idx="2">
                  <c:v>🚀 Lớp Cơ Hội (Experimental Sandbox)</c:v>
                </c:pt>
              </c:strCache>
            </c:strRef>
          </c:cat>
          <c:val>
            <c:numRef>
              <c:f>'3.Phan Bo 3 Lop'!$B$27:$B$29</c:f>
              <c:numCache>
                <c:formatCode>0.0%</c:formatCode>
                <c:ptCount val="3"/>
                <c:pt idx="0">
                  <c:v>0.10222222222222223</c:v>
                </c:pt>
                <c:pt idx="1">
                  <c:v>0.75555555555555554</c:v>
                </c:pt>
                <c:pt idx="2">
                  <c:v>0.14222222222222222</c:v>
                </c:pt>
              </c:numCache>
            </c:numRef>
          </c:val>
          <c:extLst>
            <c:ext xmlns:c16="http://schemas.microsoft.com/office/drawing/2014/chart" uri="{C3380CC4-5D6E-409C-BE32-E72D297353CC}">
              <c16:uniqueId val="{00000002-81C5-40F2-90B6-1F435335AEEA}"/>
            </c:ext>
          </c:extLst>
        </c:ser>
        <c:ser>
          <c:idx val="1"/>
          <c:order val="1"/>
          <c:tx>
            <c:strRef>
              <c:f>'3.Phan Bo 3 Lop'!$C$26</c:f>
              <c:strCache>
                <c:ptCount val="1"/>
                <c:pt idx="0">
                  <c:v>% Đề Xuất</c:v>
                </c:pt>
              </c:strCache>
            </c:strRef>
          </c:tx>
          <c:invertIfNegative val="0"/>
          <c:cat>
            <c:strRef>
              <c:f>'3.Phan Bo 3 Lop'!$A$27:$A$29</c:f>
              <c:strCache>
                <c:ptCount val="3"/>
                <c:pt idx="0">
                  <c:v>🛡️ Lớp Phòng Thủ (Core System)</c:v>
                </c:pt>
                <c:pt idx="1">
                  <c:v>📈 Lớp Tích Sản (Scaled Production)</c:v>
                </c:pt>
                <c:pt idx="2">
                  <c:v>🚀 Lớp Cơ Hội (Experimental Sandbox)</c:v>
                </c:pt>
              </c:strCache>
            </c:strRef>
          </c:cat>
          <c:val>
            <c:numRef>
              <c:f>'3.Phan Bo 3 Lop'!$C$27:$C$29</c:f>
              <c:numCache>
                <c:formatCode>0.0%</c:formatCode>
                <c:ptCount val="3"/>
                <c:pt idx="0">
                  <c:v>0.4</c:v>
                </c:pt>
                <c:pt idx="1">
                  <c:v>0.45</c:v>
                </c:pt>
                <c:pt idx="2">
                  <c:v>0.15</c:v>
                </c:pt>
              </c:numCache>
            </c:numRef>
          </c:val>
          <c:extLst>
            <c:ext xmlns:c16="http://schemas.microsoft.com/office/drawing/2014/chart" uri="{C3380CC4-5D6E-409C-BE32-E72D297353CC}">
              <c16:uniqueId val="{00000003-81C5-40F2-90B6-1F435335AEEA}"/>
            </c:ext>
          </c:extLst>
        </c:ser>
        <c:dLbls>
          <c:showLegendKey val="0"/>
          <c:showVal val="0"/>
          <c:showCatName val="0"/>
          <c:showSerName val="0"/>
          <c:showPercent val="0"/>
          <c:showBubbleSize val="0"/>
        </c:dLbls>
        <c:gapWidth val="150"/>
        <c:axId val="1841441599"/>
        <c:axId val="1841465599"/>
      </c:barChart>
      <c:catAx>
        <c:axId val="1841441599"/>
        <c:scaling>
          <c:orientation val="minMax"/>
        </c:scaling>
        <c:delete val="0"/>
        <c:axPos val="b"/>
        <c:numFmt formatCode="General" sourceLinked="1"/>
        <c:majorTickMark val="out"/>
        <c:minorTickMark val="none"/>
        <c:tickLblPos val="nextTo"/>
        <c:crossAx val="1841465599"/>
        <c:crosses val="autoZero"/>
        <c:auto val="1"/>
        <c:lblAlgn val="ctr"/>
        <c:lblOffset val="100"/>
        <c:noMultiLvlLbl val="0"/>
      </c:catAx>
      <c:valAx>
        <c:axId val="1841465599"/>
        <c:scaling>
          <c:orientation val="minMax"/>
        </c:scaling>
        <c:delete val="0"/>
        <c:axPos val="l"/>
        <c:majorGridlines/>
        <c:numFmt formatCode="0.0%" sourceLinked="1"/>
        <c:majorTickMark val="out"/>
        <c:minorTickMark val="none"/>
        <c:tickLblPos val="nextTo"/>
        <c:crossAx val="1841441599"/>
        <c:crosses val="autoZero"/>
        <c:crossBetween val="between"/>
      </c:valAx>
    </c:plotArea>
    <c:legend>
      <c:legendPos val="b"/>
      <c:overlay val="0"/>
    </c:legend>
    <c:plotVisOnly val="1"/>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5</xdr:col>
      <xdr:colOff>0</xdr:colOff>
      <xdr:row>24</xdr:row>
      <xdr:rowOff>0</xdr:rowOff>
    </xdr:from>
    <xdr:to>
      <xdr:col>9</xdr:col>
      <xdr:colOff>587375</xdr:colOff>
      <xdr:row>32</xdr:row>
      <xdr:rowOff>149225</xdr:rowOff>
    </xdr:to>
    <xdr:graphicFrame macro="">
      <xdr:nvGraphicFramePr>
        <xdr:cNvPr id="2" name="Chart 1">
          <a:extLst>
            <a:ext uri="{FF2B5EF4-FFF2-40B4-BE49-F238E27FC236}">
              <a16:creationId xmlns:a16="http://schemas.microsoft.com/office/drawing/2014/main" id="{3B94857C-0533-E086-3EB5-57E91994477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E2B5D-F355-4643-B1B7-7D6AE81C7EA3}">
  <sheetPr>
    <tabColor rgb="FF3D1E4A"/>
  </sheetPr>
  <dimension ref="A1:H21"/>
  <sheetViews>
    <sheetView showGridLines="0" tabSelected="1" workbookViewId="0">
      <selection sqref="A1:H1"/>
    </sheetView>
  </sheetViews>
  <sheetFormatPr defaultRowHeight="16.5" x14ac:dyDescent="0.6"/>
  <cols>
    <col min="1" max="1" width="184" style="3" bestFit="1" customWidth="1"/>
    <col min="2" max="16384" width="9.06640625" style="3"/>
  </cols>
  <sheetData>
    <row r="1" spans="1:8" ht="44" customHeight="1" x14ac:dyDescent="0.85">
      <c r="A1" s="1" t="s">
        <v>0</v>
      </c>
      <c r="B1" s="2"/>
      <c r="C1" s="2"/>
      <c r="D1" s="2"/>
      <c r="E1" s="2"/>
      <c r="F1" s="2"/>
      <c r="G1" s="2"/>
      <c r="H1" s="2"/>
    </row>
    <row r="2" spans="1:8" x14ac:dyDescent="0.6">
      <c r="A2" s="4" t="s">
        <v>1</v>
      </c>
      <c r="B2" s="5"/>
      <c r="C2" s="5"/>
      <c r="D2" s="5"/>
      <c r="E2" s="5"/>
      <c r="F2" s="5"/>
      <c r="G2" s="5"/>
      <c r="H2" s="5"/>
    </row>
    <row r="3" spans="1:8" ht="10.050000000000001" customHeight="1" x14ac:dyDescent="0.6"/>
    <row r="4" spans="1:8" ht="28.05" customHeight="1" x14ac:dyDescent="0.65">
      <c r="A4" s="6" t="s">
        <v>2</v>
      </c>
    </row>
    <row r="5" spans="1:8" ht="46.05" customHeight="1" x14ac:dyDescent="0.6">
      <c r="A5" s="7" t="s">
        <v>3</v>
      </c>
    </row>
    <row r="7" spans="1:8" ht="28.05" customHeight="1" x14ac:dyDescent="0.65">
      <c r="A7" s="6" t="s">
        <v>4</v>
      </c>
    </row>
    <row r="8" spans="1:8" ht="38" customHeight="1" x14ac:dyDescent="0.6">
      <c r="A8" s="7" t="s">
        <v>5</v>
      </c>
    </row>
    <row r="9" spans="1:8" ht="38" customHeight="1" x14ac:dyDescent="0.6">
      <c r="A9" s="8" t="s">
        <v>6</v>
      </c>
    </row>
    <row r="10" spans="1:8" ht="38" customHeight="1" x14ac:dyDescent="0.6">
      <c r="A10" s="7" t="s">
        <v>7</v>
      </c>
    </row>
    <row r="11" spans="1:8" ht="38" customHeight="1" x14ac:dyDescent="0.6">
      <c r="A11" s="8" t="s">
        <v>8</v>
      </c>
    </row>
    <row r="13" spans="1:8" ht="28.05" customHeight="1" x14ac:dyDescent="0.65">
      <c r="A13" s="9" t="s">
        <v>9</v>
      </c>
    </row>
    <row r="14" spans="1:8" ht="28.05" customHeight="1" x14ac:dyDescent="0.6">
      <c r="A14" s="10" t="s">
        <v>10</v>
      </c>
    </row>
    <row r="15" spans="1:8" ht="28.05" customHeight="1" x14ac:dyDescent="0.6">
      <c r="A15" s="10" t="s">
        <v>11</v>
      </c>
    </row>
    <row r="16" spans="1:8" ht="28.05" customHeight="1" x14ac:dyDescent="0.6">
      <c r="A16" s="10" t="s">
        <v>12</v>
      </c>
    </row>
    <row r="17" spans="1:1" ht="28.05" customHeight="1" x14ac:dyDescent="0.6">
      <c r="A17" s="10" t="s">
        <v>13</v>
      </c>
    </row>
    <row r="19" spans="1:1" ht="28.05" customHeight="1" x14ac:dyDescent="0.7">
      <c r="A19" s="11" t="s">
        <v>14</v>
      </c>
    </row>
    <row r="20" spans="1:1" ht="24" customHeight="1" x14ac:dyDescent="0.6">
      <c r="A20" s="7" t="s">
        <v>15</v>
      </c>
    </row>
    <row r="21" spans="1:1" ht="24" customHeight="1" x14ac:dyDescent="0.6">
      <c r="A21" s="8" t="s">
        <v>16</v>
      </c>
    </row>
  </sheetData>
  <mergeCells count="2">
    <mergeCell ref="A1:H1"/>
    <mergeCell ref="A2:H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F2698-B928-44ED-BF57-156921AC539A}">
  <sheetPr>
    <tabColor rgb="FFC0392B"/>
  </sheetPr>
  <dimension ref="A1:H27"/>
  <sheetViews>
    <sheetView workbookViewId="0">
      <selection sqref="A1:H1"/>
    </sheetView>
  </sheetViews>
  <sheetFormatPr defaultRowHeight="16.5" x14ac:dyDescent="0.6"/>
  <cols>
    <col min="1" max="1" width="42.265625" style="3" bestFit="1" customWidth="1"/>
    <col min="2" max="2" width="18.19921875" style="3" bestFit="1" customWidth="1"/>
    <col min="3" max="3" width="24.59765625" style="3" customWidth="1"/>
    <col min="4" max="4" width="51.796875" style="3" bestFit="1" customWidth="1"/>
    <col min="5" max="16384" width="9.06640625" style="3"/>
  </cols>
  <sheetData>
    <row r="1" spans="1:8" ht="44" customHeight="1" x14ac:dyDescent="0.85">
      <c r="A1" s="12" t="s">
        <v>17</v>
      </c>
      <c r="B1" s="2"/>
      <c r="C1" s="2"/>
      <c r="D1" s="2"/>
      <c r="E1" s="2"/>
      <c r="F1" s="2"/>
      <c r="G1" s="2"/>
      <c r="H1" s="2"/>
    </row>
    <row r="2" spans="1:8" x14ac:dyDescent="0.6">
      <c r="A2" s="13" t="s">
        <v>18</v>
      </c>
      <c r="B2" s="5"/>
      <c r="C2" s="5"/>
      <c r="D2" s="5"/>
      <c r="E2" s="5"/>
      <c r="F2" s="5"/>
      <c r="G2" s="5"/>
      <c r="H2" s="5"/>
    </row>
    <row r="3" spans="1:8" ht="10.050000000000001" customHeight="1" x14ac:dyDescent="0.6"/>
    <row r="4" spans="1:8" ht="28.05" customHeight="1" x14ac:dyDescent="0.6">
      <c r="A4" s="14" t="s">
        <v>19</v>
      </c>
      <c r="B4" s="15"/>
      <c r="C4" s="15"/>
      <c r="D4" s="15"/>
    </row>
    <row r="5" spans="1:8" ht="20" customHeight="1" x14ac:dyDescent="0.6">
      <c r="A5" s="16" t="s">
        <v>20</v>
      </c>
      <c r="B5" s="17"/>
      <c r="C5" s="16" t="s">
        <v>22</v>
      </c>
      <c r="D5" s="18"/>
    </row>
    <row r="6" spans="1:8" ht="28.05" customHeight="1" x14ac:dyDescent="0.75">
      <c r="A6" s="19">
        <f>B19</f>
        <v>4.2857142857142856</v>
      </c>
      <c r="B6" s="20"/>
      <c r="C6" s="19">
        <f>B22+B25</f>
        <v>5540178645.1050386</v>
      </c>
      <c r="D6" s="21"/>
    </row>
    <row r="7" spans="1:8" ht="20" customHeight="1" x14ac:dyDescent="0.6">
      <c r="A7" s="22" t="s">
        <v>21</v>
      </c>
      <c r="B7" s="23"/>
      <c r="C7" s="22" t="s">
        <v>23</v>
      </c>
      <c r="D7" s="24"/>
    </row>
    <row r="8" spans="1:8" ht="10.050000000000001" customHeight="1" x14ac:dyDescent="0.6"/>
    <row r="9" spans="1:8" ht="28.05" customHeight="1" x14ac:dyDescent="0.6">
      <c r="A9" s="14" t="s">
        <v>24</v>
      </c>
      <c r="B9" s="15"/>
      <c r="C9" s="15"/>
      <c r="D9" s="15"/>
    </row>
    <row r="10" spans="1:8" ht="24" customHeight="1" x14ac:dyDescent="0.6">
      <c r="A10" s="25" t="s">
        <v>25</v>
      </c>
      <c r="B10" s="56">
        <v>35000000</v>
      </c>
      <c r="D10" s="26" t="s">
        <v>26</v>
      </c>
    </row>
    <row r="11" spans="1:8" ht="24" customHeight="1" x14ac:dyDescent="0.6">
      <c r="A11" s="25" t="s">
        <v>27</v>
      </c>
      <c r="B11" s="56">
        <v>15</v>
      </c>
      <c r="D11" s="26" t="s">
        <v>28</v>
      </c>
    </row>
    <row r="12" spans="1:8" ht="24" customHeight="1" x14ac:dyDescent="0.6">
      <c r="A12" s="25" t="s">
        <v>29</v>
      </c>
      <c r="B12" s="56">
        <v>200000000</v>
      </c>
      <c r="D12" s="26" t="s">
        <v>30</v>
      </c>
    </row>
    <row r="13" spans="1:8" ht="24" customHeight="1" x14ac:dyDescent="0.6">
      <c r="A13" s="25" t="s">
        <v>31</v>
      </c>
      <c r="B13" s="56">
        <v>150000000</v>
      </c>
      <c r="D13" s="26" t="s">
        <v>32</v>
      </c>
    </row>
    <row r="14" spans="1:8" ht="24" customHeight="1" x14ac:dyDescent="0.6">
      <c r="A14" s="25" t="s">
        <v>33</v>
      </c>
      <c r="B14" s="56">
        <v>500000000</v>
      </c>
      <c r="D14" s="26" t="s">
        <v>34</v>
      </c>
    </row>
    <row r="15" spans="1:8" ht="24" customHeight="1" x14ac:dyDescent="0.6">
      <c r="A15" s="25" t="s">
        <v>35</v>
      </c>
      <c r="B15" s="57">
        <v>200000000</v>
      </c>
      <c r="D15" s="26" t="s">
        <v>36</v>
      </c>
    </row>
    <row r="16" spans="1:8" ht="28.05" customHeight="1" x14ac:dyDescent="0.6">
      <c r="A16" s="14" t="s">
        <v>37</v>
      </c>
      <c r="B16" s="15"/>
      <c r="C16" s="15"/>
      <c r="D16" s="15"/>
    </row>
    <row r="17" spans="1:4" ht="22.05" customHeight="1" x14ac:dyDescent="0.6">
      <c r="A17" s="27" t="s">
        <v>38</v>
      </c>
      <c r="B17" s="28" t="s">
        <v>39</v>
      </c>
      <c r="C17" s="29" t="s">
        <v>40</v>
      </c>
      <c r="D17" s="30"/>
    </row>
    <row r="19" spans="1:4" ht="20" customHeight="1" x14ac:dyDescent="0.6">
      <c r="A19" s="31" t="s">
        <v>41</v>
      </c>
      <c r="B19" s="58">
        <f>B13/B10</f>
        <v>4.2857142857142856</v>
      </c>
      <c r="C19" s="32" t="s">
        <v>42</v>
      </c>
      <c r="D19" s="30"/>
    </row>
    <row r="20" spans="1:4" ht="20" customHeight="1" x14ac:dyDescent="0.6">
      <c r="A20" s="33" t="s">
        <v>43</v>
      </c>
      <c r="B20" s="59" t="str">
        <f>IF(B19&lt;9,"🚨 NGUY HIỂM",IF(B19&lt;=12,"⚠️ TRUNG BÌNH","✅ AN TOÀN"))</f>
        <v>🚨 NGUY HIỂM</v>
      </c>
      <c r="C20" s="32" t="s">
        <v>42</v>
      </c>
      <c r="D20" s="30"/>
    </row>
    <row r="21" spans="1:4" ht="20" customHeight="1" x14ac:dyDescent="0.6">
      <c r="A21" s="31" t="s">
        <v>44</v>
      </c>
      <c r="B21" s="58">
        <f>PV(0.025, B11, -B10*12) + B12</f>
        <v>5400178645.1050386</v>
      </c>
      <c r="C21" s="32" t="s">
        <v>45</v>
      </c>
      <c r="D21" s="30"/>
    </row>
    <row r="22" spans="1:4" ht="20" customHeight="1" x14ac:dyDescent="0.6">
      <c r="A22" s="31" t="s">
        <v>46</v>
      </c>
      <c r="B22" s="58">
        <f>MAX(0, B21-B14)</f>
        <v>4900178645.1050386</v>
      </c>
      <c r="C22" s="32" t="s">
        <v>47</v>
      </c>
      <c r="D22" s="30"/>
    </row>
    <row r="23" spans="1:4" ht="20" customHeight="1" x14ac:dyDescent="0.6">
      <c r="A23" s="33" t="s">
        <v>48</v>
      </c>
      <c r="B23" s="59" t="str">
        <f>IF(B22&gt;0,"🚨 THIẾU HẠN MỨC","✅ ĐÃ ĐỦ PHÒNG VỆ")</f>
        <v>🚨 THIẾU HẠN MỨC</v>
      </c>
      <c r="C23" s="32" t="s">
        <v>49</v>
      </c>
      <c r="D23" s="30"/>
    </row>
    <row r="24" spans="1:4" ht="20" customHeight="1" x14ac:dyDescent="0.6">
      <c r="A24" s="31" t="s">
        <v>50</v>
      </c>
      <c r="B24" s="58">
        <f>B10*12*2</f>
        <v>840000000</v>
      </c>
      <c r="C24" s="32" t="s">
        <v>51</v>
      </c>
      <c r="D24" s="30"/>
    </row>
    <row r="25" spans="1:4" ht="20" customHeight="1" x14ac:dyDescent="0.6">
      <c r="A25" s="31" t="s">
        <v>52</v>
      </c>
      <c r="B25" s="58">
        <f>MAX(0, B24-B15)</f>
        <v>640000000</v>
      </c>
      <c r="C25" s="32" t="s">
        <v>53</v>
      </c>
      <c r="D25" s="30"/>
    </row>
    <row r="26" spans="1:4" ht="22.05" customHeight="1" thickBot="1" x14ac:dyDescent="0.65">
      <c r="A26" s="34" t="s">
        <v>54</v>
      </c>
      <c r="B26" s="60" t="str">
        <f>IF(B25&gt;0,"🚨 THIẾU LÁ CHẮN","✅ AN TOÀN Y TẾ")</f>
        <v>🚨 THIẾU LÁ CHẮN</v>
      </c>
      <c r="C26" s="32" t="s">
        <v>55</v>
      </c>
      <c r="D26" s="30"/>
    </row>
    <row r="27" spans="1:4" ht="16.899999999999999" thickTop="1" x14ac:dyDescent="0.6"/>
  </sheetData>
  <mergeCells count="20">
    <mergeCell ref="C22:D22"/>
    <mergeCell ref="C23:D23"/>
    <mergeCell ref="C24:D24"/>
    <mergeCell ref="C25:D25"/>
    <mergeCell ref="C26:D26"/>
    <mergeCell ref="A9:D9"/>
    <mergeCell ref="A16:D16"/>
    <mergeCell ref="C17:D17"/>
    <mergeCell ref="C19:D19"/>
    <mergeCell ref="C20:D20"/>
    <mergeCell ref="C21:D21"/>
    <mergeCell ref="A1:H1"/>
    <mergeCell ref="A2:H2"/>
    <mergeCell ref="A4:D4"/>
    <mergeCell ref="A5:B5"/>
    <mergeCell ref="A6:B6"/>
    <mergeCell ref="A7:B7"/>
    <mergeCell ref="C5:D5"/>
    <mergeCell ref="C6:D6"/>
    <mergeCell ref="C7:D7"/>
  </mergeCells>
  <conditionalFormatting sqref="B20">
    <cfRule type="cellIs" dxfId="9" priority="1" stopIfTrue="1" operator="equal">
      <formula>"🚨 NGUY HIỂM"</formula>
    </cfRule>
    <cfRule type="cellIs" dxfId="8" priority="2" stopIfTrue="1" operator="equal">
      <formula>"⚠️ TRUNG BÌNH"</formula>
    </cfRule>
    <cfRule type="cellIs" dxfId="7" priority="3" stopIfTrue="1" operator="equal">
      <formula>"✅ AN TOÀN"</formula>
    </cfRule>
  </conditionalFormatting>
  <conditionalFormatting sqref="B23">
    <cfRule type="cellIs" dxfId="6" priority="4" stopIfTrue="1" operator="equal">
      <formula>"🚨 THIẾU HẠN MỨC"</formula>
    </cfRule>
    <cfRule type="cellIs" dxfId="5" priority="5" stopIfTrue="1" operator="equal">
      <formula>"✅ ĐÃ ĐỦ PHÒNG VỆ"</formula>
    </cfRule>
  </conditionalFormatting>
  <conditionalFormatting sqref="B26">
    <cfRule type="cellIs" dxfId="4" priority="6" stopIfTrue="1" operator="equal">
      <formula>"🚨 THIẾU LÁ CHẮN"</formula>
    </cfRule>
    <cfRule type="cellIs" dxfId="3" priority="7" stopIfTrue="1" operator="equal">
      <formula>"✅ AN TOÀN Y TẾ"</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B995D-662E-446D-9D24-90CF3B53881B}">
  <sheetPr>
    <tabColor rgb="FFD4AF37"/>
  </sheetPr>
  <dimension ref="A4:D23"/>
  <sheetViews>
    <sheetView workbookViewId="0"/>
  </sheetViews>
  <sheetFormatPr defaultRowHeight="16.5" x14ac:dyDescent="0.6"/>
  <cols>
    <col min="1" max="1" width="46.53125" style="3" bestFit="1" customWidth="1"/>
    <col min="2" max="2" width="14.33203125" style="3" bestFit="1" customWidth="1"/>
    <col min="3" max="3" width="24.59765625" style="3" customWidth="1"/>
    <col min="4" max="4" width="62.1328125" style="3" bestFit="1" customWidth="1"/>
    <col min="5" max="16384" width="9.06640625" style="3"/>
  </cols>
  <sheetData>
    <row r="4" spans="1:4" ht="28.05" customHeight="1" x14ac:dyDescent="0.6">
      <c r="A4" s="14" t="s">
        <v>56</v>
      </c>
      <c r="B4" s="15"/>
      <c r="C4" s="15"/>
      <c r="D4" s="15"/>
    </row>
    <row r="5" spans="1:4" ht="20" customHeight="1" x14ac:dyDescent="0.6">
      <c r="A5" s="16" t="s">
        <v>57</v>
      </c>
      <c r="B5" s="17"/>
      <c r="C5" s="16" t="s">
        <v>59</v>
      </c>
      <c r="D5" s="18"/>
    </row>
    <row r="6" spans="1:4" ht="28.05" customHeight="1" x14ac:dyDescent="0.75">
      <c r="A6" s="35">
        <f>B19</f>
        <v>5646249.943363524</v>
      </c>
      <c r="B6" s="20"/>
      <c r="C6" s="36">
        <f>B15</f>
        <v>1628894626.7774415</v>
      </c>
      <c r="D6" s="21"/>
    </row>
    <row r="7" spans="1:4" ht="20" customHeight="1" x14ac:dyDescent="0.6">
      <c r="A7" s="22" t="s">
        <v>58</v>
      </c>
      <c r="B7" s="23"/>
      <c r="C7" s="22" t="s">
        <v>60</v>
      </c>
      <c r="D7" s="24"/>
    </row>
    <row r="8" spans="1:4" ht="10.050000000000001" customHeight="1" x14ac:dyDescent="0.6"/>
    <row r="9" spans="1:4" ht="28.05" customHeight="1" x14ac:dyDescent="0.6">
      <c r="A9" s="14" t="s">
        <v>61</v>
      </c>
      <c r="B9" s="15"/>
      <c r="C9" s="15"/>
      <c r="D9" s="15"/>
    </row>
    <row r="10" spans="1:4" ht="24" customHeight="1" x14ac:dyDescent="0.6">
      <c r="A10" s="25" t="s">
        <v>62</v>
      </c>
      <c r="B10" s="56">
        <v>1000000000</v>
      </c>
      <c r="D10" s="26" t="s">
        <v>63</v>
      </c>
    </row>
    <row r="11" spans="1:4" ht="24" customHeight="1" x14ac:dyDescent="0.6">
      <c r="A11" s="25" t="s">
        <v>64</v>
      </c>
      <c r="B11" s="56">
        <v>10</v>
      </c>
      <c r="D11" s="26" t="s">
        <v>65</v>
      </c>
    </row>
    <row r="12" spans="1:4" ht="24" customHeight="1" x14ac:dyDescent="0.6">
      <c r="A12" s="25" t="s">
        <v>66</v>
      </c>
      <c r="B12" s="56">
        <v>100000000</v>
      </c>
      <c r="D12" s="26" t="s">
        <v>67</v>
      </c>
    </row>
    <row r="13" spans="1:4" ht="24" customHeight="1" x14ac:dyDescent="0.6">
      <c r="A13" s="25" t="s">
        <v>68</v>
      </c>
      <c r="B13" s="61">
        <v>0.12</v>
      </c>
      <c r="D13" s="26" t="s">
        <v>69</v>
      </c>
    </row>
    <row r="14" spans="1:4" ht="24" customHeight="1" x14ac:dyDescent="0.6">
      <c r="A14" s="25" t="s">
        <v>70</v>
      </c>
      <c r="B14" s="61">
        <v>0.05</v>
      </c>
      <c r="D14" s="26" t="s">
        <v>71</v>
      </c>
    </row>
    <row r="15" spans="1:4" ht="24" customHeight="1" x14ac:dyDescent="0.6">
      <c r="A15" s="25" t="s">
        <v>72</v>
      </c>
      <c r="B15" s="62">
        <f>B10*(1+B14)^B11</f>
        <v>1628894626.7774415</v>
      </c>
      <c r="D15" s="26" t="s">
        <v>73</v>
      </c>
    </row>
    <row r="17" spans="1:4" ht="28.05" customHeight="1" x14ac:dyDescent="0.6">
      <c r="A17" s="14" t="s">
        <v>74</v>
      </c>
      <c r="B17" s="15"/>
      <c r="C17" s="15"/>
      <c r="D17" s="15"/>
    </row>
    <row r="18" spans="1:4" ht="22.05" customHeight="1" x14ac:dyDescent="0.6">
      <c r="A18" s="27" t="s">
        <v>75</v>
      </c>
      <c r="B18" s="37" t="s">
        <v>39</v>
      </c>
      <c r="C18" s="29" t="s">
        <v>76</v>
      </c>
      <c r="D18" s="30"/>
    </row>
    <row r="19" spans="1:4" ht="22.05" customHeight="1" x14ac:dyDescent="0.6">
      <c r="A19" s="33" t="s">
        <v>77</v>
      </c>
      <c r="B19" s="63">
        <f>-PMT(B13/12, B11*12, -B12, B15)</f>
        <v>5646249.943363524</v>
      </c>
      <c r="C19" s="32" t="s">
        <v>78</v>
      </c>
      <c r="D19" s="30"/>
    </row>
    <row r="20" spans="1:4" ht="20" customHeight="1" x14ac:dyDescent="0.6">
      <c r="A20" s="31" t="s">
        <v>79</v>
      </c>
      <c r="B20" s="64">
        <f>FV(B13/12, 5*12, -B19, -B12)</f>
        <v>642797038.65767694</v>
      </c>
      <c r="C20" s="32" t="s">
        <v>80</v>
      </c>
      <c r="D20" s="30"/>
    </row>
    <row r="21" spans="1:4" ht="20" customHeight="1" x14ac:dyDescent="0.6">
      <c r="A21" s="31" t="s">
        <v>81</v>
      </c>
      <c r="B21" s="64">
        <f>FV(B13/12, 10*12, -B19, -B12)</f>
        <v>1628894626.7774446</v>
      </c>
      <c r="C21" s="32" t="s">
        <v>82</v>
      </c>
      <c r="D21" s="30"/>
    </row>
    <row r="22" spans="1:4" ht="22.05" customHeight="1" thickBot="1" x14ac:dyDescent="0.65">
      <c r="A22" s="38" t="s">
        <v>83</v>
      </c>
      <c r="B22" s="65">
        <f>FV(B13/12, 15*12, -B19, -B12)</f>
        <v>3420334859.5766392</v>
      </c>
      <c r="C22" s="32" t="s">
        <v>84</v>
      </c>
      <c r="D22" s="30"/>
    </row>
    <row r="23" spans="1:4" ht="16.899999999999999" thickTop="1" x14ac:dyDescent="0.6"/>
  </sheetData>
  <mergeCells count="14">
    <mergeCell ref="C22:D22"/>
    <mergeCell ref="A9:D9"/>
    <mergeCell ref="A17:D17"/>
    <mergeCell ref="C18:D18"/>
    <mergeCell ref="C19:D19"/>
    <mergeCell ref="C20:D20"/>
    <mergeCell ref="C21:D21"/>
    <mergeCell ref="A4:D4"/>
    <mergeCell ref="A5:B5"/>
    <mergeCell ref="A6:B6"/>
    <mergeCell ref="A7:B7"/>
    <mergeCell ref="C5:D5"/>
    <mergeCell ref="C6:D6"/>
    <mergeCell ref="C7:D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25D3E-A807-4627-B100-4C565D2A371B}">
  <sheetPr>
    <tabColor rgb="FF527D2E"/>
  </sheetPr>
  <dimension ref="A1:H30"/>
  <sheetViews>
    <sheetView workbookViewId="0">
      <selection sqref="A1:H1"/>
    </sheetView>
  </sheetViews>
  <sheetFormatPr defaultRowHeight="16.5" x14ac:dyDescent="0.6"/>
  <cols>
    <col min="1" max="1" width="32" style="3" bestFit="1" customWidth="1"/>
    <col min="2" max="2" width="30.1328125" style="3" bestFit="1" customWidth="1"/>
    <col min="3" max="3" width="19.19921875" style="3" bestFit="1" customWidth="1"/>
    <col min="4" max="4" width="13.796875" style="3" bestFit="1" customWidth="1"/>
    <col min="5" max="5" width="10.9296875" style="3" bestFit="1" customWidth="1"/>
    <col min="6" max="6" width="22.59765625" style="3" customWidth="1"/>
    <col min="7" max="7" width="47.3984375" style="3" bestFit="1" customWidth="1"/>
    <col min="8" max="16384" width="9.06640625" style="3"/>
  </cols>
  <sheetData>
    <row r="1" spans="1:8" ht="44" customHeight="1" x14ac:dyDescent="0.85">
      <c r="A1" s="39" t="s">
        <v>85</v>
      </c>
      <c r="B1" s="2"/>
      <c r="C1" s="2"/>
      <c r="D1" s="2"/>
      <c r="E1" s="2"/>
      <c r="F1" s="2"/>
      <c r="G1" s="2"/>
      <c r="H1" s="2"/>
    </row>
    <row r="2" spans="1:8" x14ac:dyDescent="0.6">
      <c r="A2" s="40" t="s">
        <v>86</v>
      </c>
      <c r="B2" s="5"/>
      <c r="C2" s="5"/>
      <c r="D2" s="5"/>
      <c r="E2" s="5"/>
      <c r="F2" s="5"/>
      <c r="G2" s="5"/>
      <c r="H2" s="5"/>
    </row>
    <row r="3" spans="1:8" ht="10.050000000000001" customHeight="1" x14ac:dyDescent="0.6"/>
    <row r="4" spans="1:8" ht="28.05" customHeight="1" x14ac:dyDescent="0.6">
      <c r="A4" s="41" t="s">
        <v>87</v>
      </c>
      <c r="B4" s="15"/>
      <c r="C4" s="15"/>
      <c r="D4" s="15"/>
      <c r="E4" s="15"/>
      <c r="F4" s="15"/>
      <c r="G4" s="15"/>
    </row>
    <row r="5" spans="1:8" ht="24" customHeight="1" x14ac:dyDescent="0.6">
      <c r="A5" s="25" t="s">
        <v>88</v>
      </c>
      <c r="B5" s="56">
        <v>35</v>
      </c>
      <c r="G5" s="26" t="s">
        <v>89</v>
      </c>
    </row>
    <row r="6" spans="1:8" ht="24" customHeight="1" x14ac:dyDescent="0.6">
      <c r="A6" s="25" t="s">
        <v>90</v>
      </c>
      <c r="B6" s="66" t="s">
        <v>92</v>
      </c>
      <c r="G6" s="26" t="s">
        <v>91</v>
      </c>
    </row>
    <row r="8" spans="1:8" ht="28.05" customHeight="1" x14ac:dyDescent="0.6">
      <c r="A8" s="41" t="s">
        <v>93</v>
      </c>
      <c r="B8" s="15"/>
      <c r="C8" s="15"/>
      <c r="D8" s="15"/>
      <c r="E8" s="15"/>
      <c r="F8" s="15"/>
      <c r="G8" s="15"/>
    </row>
    <row r="9" spans="1:8" ht="22.05" customHeight="1" x14ac:dyDescent="0.6">
      <c r="A9" s="42" t="s">
        <v>94</v>
      </c>
      <c r="B9" s="43" t="s">
        <v>95</v>
      </c>
      <c r="C9" s="29" t="s">
        <v>96</v>
      </c>
      <c r="D9" s="30"/>
      <c r="E9" s="30"/>
      <c r="F9" s="30"/>
      <c r="G9" s="30"/>
    </row>
    <row r="10" spans="1:8" ht="20" customHeight="1" x14ac:dyDescent="0.6">
      <c r="A10" s="33" t="s">
        <v>97</v>
      </c>
      <c r="B10" s="44">
        <f>IF(B6="Thap",0.5,IF(B6="Trung Binh",0.4,0.3))</f>
        <v>0.4</v>
      </c>
      <c r="C10" s="32" t="s">
        <v>98</v>
      </c>
      <c r="D10" s="30"/>
      <c r="E10" s="30"/>
      <c r="F10" s="30"/>
      <c r="G10" s="30"/>
    </row>
    <row r="11" spans="1:8" ht="20" customHeight="1" x14ac:dyDescent="0.6">
      <c r="A11" s="33" t="s">
        <v>99</v>
      </c>
      <c r="B11" s="44">
        <f>IF(B6="Thap",0.4,IF(B6="Trung Binh",0.45,0.55))</f>
        <v>0.45</v>
      </c>
      <c r="C11" s="32" t="s">
        <v>100</v>
      </c>
      <c r="D11" s="30"/>
      <c r="E11" s="30"/>
      <c r="F11" s="30"/>
      <c r="G11" s="30"/>
    </row>
    <row r="12" spans="1:8" ht="20" customHeight="1" thickBot="1" x14ac:dyDescent="0.65">
      <c r="A12" s="34" t="s">
        <v>101</v>
      </c>
      <c r="B12" s="45">
        <f>IF(B6="Thap",0.1,IF(B6="Trung Binh",0.15,0.15))</f>
        <v>0.15</v>
      </c>
      <c r="C12" s="32" t="s">
        <v>102</v>
      </c>
      <c r="D12" s="30"/>
      <c r="E12" s="30"/>
      <c r="F12" s="30"/>
      <c r="G12" s="30"/>
    </row>
    <row r="13" spans="1:8" ht="16.899999999999999" thickTop="1" x14ac:dyDescent="0.6"/>
    <row r="15" spans="1:8" ht="28.05" customHeight="1" x14ac:dyDescent="0.6">
      <c r="A15" s="41" t="s">
        <v>103</v>
      </c>
      <c r="B15" s="15"/>
      <c r="C15" s="15"/>
      <c r="D15" s="15"/>
      <c r="E15" s="15"/>
      <c r="F15" s="15"/>
      <c r="G15" s="15"/>
    </row>
    <row r="16" spans="1:8" ht="22.05" customHeight="1" x14ac:dyDescent="0.6">
      <c r="A16" s="42" t="s">
        <v>104</v>
      </c>
      <c r="B16" s="42" t="s">
        <v>105</v>
      </c>
      <c r="C16" s="43" t="s">
        <v>106</v>
      </c>
      <c r="D16" s="29" t="s">
        <v>107</v>
      </c>
      <c r="E16" s="30"/>
      <c r="F16" s="30"/>
      <c r="G16" s="30"/>
    </row>
    <row r="17" spans="1:7" ht="22.05" customHeight="1" x14ac:dyDescent="0.6">
      <c r="A17" s="31" t="s">
        <v>108</v>
      </c>
      <c r="B17" s="31" t="s">
        <v>97</v>
      </c>
      <c r="C17" s="67">
        <v>150000000</v>
      </c>
      <c r="D17" s="46" t="s">
        <v>109</v>
      </c>
      <c r="E17" s="47"/>
      <c r="F17" s="47"/>
      <c r="G17" s="47"/>
    </row>
    <row r="18" spans="1:7" ht="22.05" customHeight="1" x14ac:dyDescent="0.6">
      <c r="A18" s="31" t="s">
        <v>110</v>
      </c>
      <c r="B18" s="31" t="s">
        <v>97</v>
      </c>
      <c r="C18" s="67">
        <v>80000000</v>
      </c>
      <c r="D18" s="46" t="s">
        <v>111</v>
      </c>
      <c r="E18" s="47"/>
      <c r="F18" s="47"/>
      <c r="G18" s="47"/>
    </row>
    <row r="19" spans="1:7" ht="22.05" customHeight="1" x14ac:dyDescent="0.6">
      <c r="A19" s="31" t="s">
        <v>112</v>
      </c>
      <c r="B19" s="31" t="s">
        <v>99</v>
      </c>
      <c r="C19" s="67">
        <v>200000000</v>
      </c>
      <c r="D19" s="46" t="s">
        <v>113</v>
      </c>
      <c r="E19" s="47"/>
      <c r="F19" s="47"/>
      <c r="G19" s="47"/>
    </row>
    <row r="20" spans="1:7" ht="22.05" customHeight="1" x14ac:dyDescent="0.6">
      <c r="A20" s="31" t="s">
        <v>114</v>
      </c>
      <c r="B20" s="31" t="s">
        <v>99</v>
      </c>
      <c r="C20" s="67">
        <v>1500000000</v>
      </c>
      <c r="D20" s="46" t="s">
        <v>115</v>
      </c>
      <c r="E20" s="47"/>
      <c r="F20" s="47"/>
      <c r="G20" s="47"/>
    </row>
    <row r="21" spans="1:7" ht="22.05" customHeight="1" x14ac:dyDescent="0.6">
      <c r="A21" s="31" t="s">
        <v>116</v>
      </c>
      <c r="B21" s="31" t="s">
        <v>101</v>
      </c>
      <c r="C21" s="67">
        <v>200000000</v>
      </c>
      <c r="D21" s="46" t="s">
        <v>117</v>
      </c>
      <c r="E21" s="47"/>
      <c r="F21" s="47"/>
      <c r="G21" s="47"/>
    </row>
    <row r="22" spans="1:7" ht="22.05" customHeight="1" x14ac:dyDescent="0.6">
      <c r="A22" s="31" t="s">
        <v>118</v>
      </c>
      <c r="B22" s="31" t="s">
        <v>101</v>
      </c>
      <c r="C22" s="67">
        <v>80000000</v>
      </c>
      <c r="D22" s="46" t="s">
        <v>119</v>
      </c>
      <c r="E22" s="47"/>
      <c r="F22" s="47"/>
      <c r="G22" s="47"/>
    </row>
    <row r="23" spans="1:7" ht="22.05" customHeight="1" x14ac:dyDescent="0.6">
      <c r="A23" s="31" t="s">
        <v>120</v>
      </c>
      <c r="B23" s="31" t="s">
        <v>101</v>
      </c>
      <c r="C23" s="68">
        <v>40000000</v>
      </c>
      <c r="D23" s="48" t="s">
        <v>121</v>
      </c>
      <c r="E23" s="47"/>
      <c r="F23" s="47"/>
      <c r="G23" s="47"/>
    </row>
    <row r="24" spans="1:7" ht="26" customHeight="1" thickBot="1" x14ac:dyDescent="0.65">
      <c r="A24" s="49" t="s">
        <v>122</v>
      </c>
      <c r="B24" s="50" t="s">
        <v>123</v>
      </c>
      <c r="C24" s="69">
        <f>SUM(C17:C23)</f>
        <v>2250000000</v>
      </c>
      <c r="D24" s="51" t="s">
        <v>124</v>
      </c>
      <c r="E24" s="30"/>
      <c r="F24" s="30"/>
      <c r="G24" s="30"/>
    </row>
    <row r="25" spans="1:7" ht="28.05" customHeight="1" thickTop="1" x14ac:dyDescent="0.6">
      <c r="A25" s="14" t="s">
        <v>125</v>
      </c>
      <c r="B25" s="15"/>
      <c r="C25" s="15"/>
      <c r="D25" s="15"/>
      <c r="E25" s="15"/>
      <c r="F25" s="15"/>
      <c r="G25" s="15"/>
    </row>
    <row r="26" spans="1:7" ht="22.05" customHeight="1" x14ac:dyDescent="0.6">
      <c r="A26" s="27" t="s">
        <v>126</v>
      </c>
      <c r="B26" s="37" t="s">
        <v>127</v>
      </c>
      <c r="C26" s="37" t="s">
        <v>128</v>
      </c>
      <c r="D26" s="37" t="s">
        <v>129</v>
      </c>
      <c r="E26" s="37" t="s">
        <v>130</v>
      </c>
      <c r="F26" s="29" t="s">
        <v>131</v>
      </c>
      <c r="G26" s="30"/>
    </row>
    <row r="27" spans="1:7" ht="32" customHeight="1" x14ac:dyDescent="0.6">
      <c r="A27" s="33" t="s">
        <v>97</v>
      </c>
      <c r="B27" s="70">
        <f>D27/C24</f>
        <v>0.10222222222222223</v>
      </c>
      <c r="C27" s="70">
        <f>B10</f>
        <v>0.4</v>
      </c>
      <c r="D27" s="64">
        <f>SUMIF(B17:B23,A27,C17:C23)</f>
        <v>230000000</v>
      </c>
      <c r="E27" s="71">
        <f>B27-C27</f>
        <v>-0.29777777777777781</v>
      </c>
      <c r="F27" s="52" t="str">
        <f>IF(E27&gt;0.05,"Cắt giảm " &amp; TEXT(E27*C24,"#,##0") &amp; " VND",IF(E27&lt;-0.05,"Bổ sung " &amp; TEXT(-E27*C24,"#,##0") &amp; " VND","Cân bằng tốt"))</f>
        <v>Bổ sung 670,000,000 VND</v>
      </c>
      <c r="G27" s="53"/>
    </row>
    <row r="28" spans="1:7" ht="32" customHeight="1" x14ac:dyDescent="0.6">
      <c r="A28" s="33" t="s">
        <v>99</v>
      </c>
      <c r="B28" s="70">
        <f>D28/C24</f>
        <v>0.75555555555555554</v>
      </c>
      <c r="C28" s="70">
        <f>B11</f>
        <v>0.45</v>
      </c>
      <c r="D28" s="64">
        <f>SUMIF(B17:B23,A28,C17:C23)</f>
        <v>1700000000</v>
      </c>
      <c r="E28" s="71">
        <f>B28-C28</f>
        <v>0.30555555555555552</v>
      </c>
      <c r="F28" s="52" t="str">
        <f>IF(E28&gt;0.05,"Cắt giảm " &amp; TEXT(E28*C24,"#,##0") &amp; " VND",IF(E28&lt;-0.05,"Bổ sung " &amp; TEXT(-E28*C24,"#,##0") &amp; " VND","Cân bằng tốt"))</f>
        <v>Cắt giảm 687,500,000 VND</v>
      </c>
      <c r="G28" s="53"/>
    </row>
    <row r="29" spans="1:7" ht="32" customHeight="1" thickBot="1" x14ac:dyDescent="0.65">
      <c r="A29" s="34" t="s">
        <v>101</v>
      </c>
      <c r="B29" s="72">
        <f>D29/C24</f>
        <v>0.14222222222222222</v>
      </c>
      <c r="C29" s="72">
        <f>B12</f>
        <v>0.15</v>
      </c>
      <c r="D29" s="65">
        <f>SUMIF(B17:B23,A29,C17:C23)</f>
        <v>320000000</v>
      </c>
      <c r="E29" s="73">
        <f>B29-C29</f>
        <v>-7.7777777777777724E-3</v>
      </c>
      <c r="F29" s="52" t="str">
        <f>IF(E29&gt;0.05,"Cắt giảm " &amp; TEXT(E29*C24,"#,##0") &amp; " VND",IF(E29&lt;-0.05,"Bổ sung " &amp; TEXT(-E29*C24,"#,##0") &amp; " VND","Cân bằng tốt"))</f>
        <v>Cân bằng tốt</v>
      </c>
      <c r="G29" s="53"/>
    </row>
    <row r="30" spans="1:7" ht="16.899999999999999" thickTop="1" x14ac:dyDescent="0.6"/>
  </sheetData>
  <mergeCells count="23">
    <mergeCell ref="A25:G25"/>
    <mergeCell ref="F26:G26"/>
    <mergeCell ref="F27:G27"/>
    <mergeCell ref="F28:G28"/>
    <mergeCell ref="F29:G29"/>
    <mergeCell ref="D19:G19"/>
    <mergeCell ref="D20:G20"/>
    <mergeCell ref="D21:G21"/>
    <mergeCell ref="D22:G22"/>
    <mergeCell ref="D23:G23"/>
    <mergeCell ref="D24:G24"/>
    <mergeCell ref="C11:G11"/>
    <mergeCell ref="C12:G12"/>
    <mergeCell ref="A15:G15"/>
    <mergeCell ref="D16:G16"/>
    <mergeCell ref="D17:G17"/>
    <mergeCell ref="D18:G18"/>
    <mergeCell ref="A1:H1"/>
    <mergeCell ref="A2:H2"/>
    <mergeCell ref="A4:G4"/>
    <mergeCell ref="A8:G8"/>
    <mergeCell ref="C9:G9"/>
    <mergeCell ref="C10:G10"/>
  </mergeCells>
  <conditionalFormatting sqref="E27:E29">
    <cfRule type="cellIs" dxfId="2" priority="1" stopIfTrue="1" operator="between">
      <formula>-0.05</formula>
      <formula>0.05</formula>
    </cfRule>
    <cfRule type="cellIs" dxfId="1" priority="2" stopIfTrue="1" operator="lessThan">
      <formula>-0.05</formula>
    </cfRule>
    <cfRule type="cellIs" dxfId="0" priority="3" stopIfTrue="1" operator="greaterThan">
      <formula>0.05</formula>
    </cfRule>
  </conditionalFormatting>
  <dataValidations count="1">
    <dataValidation type="list" allowBlank="1" showInputMessage="1" showErrorMessage="1" sqref="B6" xr:uid="{669FB83F-8547-40CA-9600-62D344789954}">
      <formula1>"Thap,Trung Binh,Cao"</formula1>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C518B-7581-47FA-9DF9-DE626A1549E4}">
  <sheetPr>
    <tabColor rgb="FF3D1E4A"/>
  </sheetPr>
  <dimension ref="A1:H29"/>
  <sheetViews>
    <sheetView workbookViewId="0">
      <selection sqref="A1:H1"/>
    </sheetView>
  </sheetViews>
  <sheetFormatPr defaultRowHeight="16.5" x14ac:dyDescent="0.6"/>
  <cols>
    <col min="1" max="1" width="45.53125" style="3" bestFit="1" customWidth="1"/>
    <col min="2" max="2" width="33.796875" style="3" bestFit="1" customWidth="1"/>
    <col min="3" max="3" width="29.06640625" style="3" bestFit="1" customWidth="1"/>
    <col min="4" max="4" width="57.73046875" style="3" bestFit="1" customWidth="1"/>
    <col min="5" max="16384" width="9.06640625" style="3"/>
  </cols>
  <sheetData>
    <row r="1" spans="1:8" ht="44" customHeight="1" x14ac:dyDescent="0.85">
      <c r="A1" s="1" t="s">
        <v>132</v>
      </c>
      <c r="B1" s="2"/>
      <c r="C1" s="2"/>
      <c r="D1" s="2"/>
      <c r="E1" s="2"/>
      <c r="F1" s="2"/>
      <c r="G1" s="2"/>
      <c r="H1" s="2"/>
    </row>
    <row r="2" spans="1:8" x14ac:dyDescent="0.6">
      <c r="A2" s="4" t="s">
        <v>133</v>
      </c>
      <c r="B2" s="5"/>
      <c r="C2" s="5"/>
      <c r="D2" s="5"/>
      <c r="E2" s="5"/>
      <c r="F2" s="5"/>
      <c r="G2" s="5"/>
      <c r="H2" s="5"/>
    </row>
    <row r="3" spans="1:8" ht="10.050000000000001" customHeight="1" x14ac:dyDescent="0.6"/>
    <row r="4" spans="1:8" ht="28.05" customHeight="1" x14ac:dyDescent="0.6">
      <c r="A4" s="14" t="s">
        <v>134</v>
      </c>
      <c r="B4" s="15"/>
      <c r="C4" s="15"/>
      <c r="D4" s="15"/>
    </row>
    <row r="5" spans="1:8" ht="24" customHeight="1" x14ac:dyDescent="0.6">
      <c r="A5" s="25" t="s">
        <v>135</v>
      </c>
      <c r="B5" s="56">
        <v>15000000</v>
      </c>
      <c r="D5" s="26" t="s">
        <v>136</v>
      </c>
    </row>
    <row r="6" spans="1:8" ht="24" customHeight="1" x14ac:dyDescent="0.6">
      <c r="A6" s="25" t="s">
        <v>137</v>
      </c>
      <c r="B6" s="61">
        <v>0.12</v>
      </c>
      <c r="D6" s="26" t="s">
        <v>138</v>
      </c>
    </row>
    <row r="7" spans="1:8" ht="24" customHeight="1" x14ac:dyDescent="0.6">
      <c r="A7" s="25" t="s">
        <v>139</v>
      </c>
      <c r="B7" s="57">
        <v>30000000</v>
      </c>
      <c r="D7" s="26" t="s">
        <v>140</v>
      </c>
    </row>
    <row r="9" spans="1:8" ht="28.05" customHeight="1" x14ac:dyDescent="0.6">
      <c r="A9" s="14" t="s">
        <v>141</v>
      </c>
      <c r="B9" s="15"/>
      <c r="C9" s="15"/>
      <c r="D9" s="15"/>
    </row>
    <row r="10" spans="1:8" ht="22.05" customHeight="1" x14ac:dyDescent="0.6">
      <c r="A10" s="27" t="s">
        <v>142</v>
      </c>
      <c r="B10" s="37" t="s">
        <v>143</v>
      </c>
      <c r="C10" s="37" t="s">
        <v>144</v>
      </c>
      <c r="D10" s="54" t="s">
        <v>145</v>
      </c>
    </row>
    <row r="11" spans="1:8" ht="22.05" customHeight="1" x14ac:dyDescent="0.6">
      <c r="A11" s="33" t="s">
        <v>146</v>
      </c>
      <c r="B11" s="74">
        <f>B7*12/0.04</f>
        <v>9000000000</v>
      </c>
      <c r="C11" s="75">
        <f>IF('3.Phan Bo 3 Lop'!C24&gt;=B11,0,IFERROR(NPER(B6/12,-B5,-'3.Phan Bo 3 Lop'!C24,B11)/12,"N/A"))</f>
        <v>8.6229914728022745</v>
      </c>
      <c r="D11" s="55" t="s">
        <v>147</v>
      </c>
    </row>
    <row r="12" spans="1:8" ht="22.05" customHeight="1" thickBot="1" x14ac:dyDescent="0.65">
      <c r="A12" s="33" t="s">
        <v>148</v>
      </c>
      <c r="B12" s="76">
        <f>B7*1.5*12/0.04</f>
        <v>13500000000</v>
      </c>
      <c r="C12" s="77">
        <f>IF('3.Phan Bo 3 Lop'!C24&gt;=B12,0,IFERROR(NPER(B6/12,-B5,-'3.Phan Bo 3 Lop'!C24,B12)/12,"N/A"))</f>
        <v>11.610119482262471</v>
      </c>
      <c r="D12" s="55" t="s">
        <v>149</v>
      </c>
    </row>
    <row r="13" spans="1:8" ht="16.899999999999999" thickTop="1" x14ac:dyDescent="0.6"/>
    <row r="15" spans="1:8" ht="28.05" customHeight="1" x14ac:dyDescent="0.6">
      <c r="A15" s="14" t="s">
        <v>150</v>
      </c>
      <c r="B15" s="15"/>
      <c r="C15" s="15"/>
      <c r="D15" s="15"/>
    </row>
    <row r="16" spans="1:8" ht="22.05" customHeight="1" x14ac:dyDescent="0.6">
      <c r="A16" s="27" t="s">
        <v>151</v>
      </c>
      <c r="B16" s="37" t="s">
        <v>152</v>
      </c>
      <c r="C16" s="37" t="s">
        <v>153</v>
      </c>
      <c r="D16" s="37" t="s">
        <v>154</v>
      </c>
    </row>
    <row r="17" spans="1:4" ht="20" customHeight="1" x14ac:dyDescent="0.6">
      <c r="A17" s="31">
        <v>1</v>
      </c>
      <c r="B17" s="78">
        <f>IF(A17&lt;=5, '3.Phan Bo 3 Lop'!C24, FV(B6/12, (A17-5)*12, -B5, -'3.Phan Bo 3 Lop'!C24))</f>
        <v>2250000000</v>
      </c>
      <c r="C17" s="78">
        <f>FV(B6/12, A17*12, -B5, -'3.Phan Bo 3 Lop'!C24)</f>
        <v>2725593862.9948869</v>
      </c>
      <c r="D17" s="79">
        <f>C17-B17</f>
        <v>475593862.99488688</v>
      </c>
    </row>
    <row r="18" spans="1:4" ht="20" customHeight="1" x14ac:dyDescent="0.6">
      <c r="A18" s="31">
        <v>2</v>
      </c>
      <c r="B18" s="78">
        <f>IF(A18&lt;=5, '3.Phan Bo 3 Lop'!C24, FV(B6/12, (A18-5)*12, -B5, -'3.Phan Bo 3 Lop'!C24))</f>
        <v>2250000000</v>
      </c>
      <c r="C18" s="78">
        <f>FV(B6/12, A18*12, -B5, -'3.Phan Bo 3 Lop'!C24)</f>
        <v>3261504931.9946814</v>
      </c>
      <c r="D18" s="79">
        <f>C18-B18</f>
        <v>1011504931.9946814</v>
      </c>
    </row>
    <row r="19" spans="1:4" ht="20" customHeight="1" x14ac:dyDescent="0.6">
      <c r="A19" s="31">
        <v>3</v>
      </c>
      <c r="B19" s="78">
        <f>IF(A19&lt;=5, '3.Phan Bo 3 Lop'!C24, FV(B6/12, (A19-5)*12, -B5, -'3.Phan Bo 3 Lop'!C24))</f>
        <v>2250000000</v>
      </c>
      <c r="C19" s="78">
        <f>FV(B6/12, A19*12, -B5, -'3.Phan Bo 3 Lop'!C24)</f>
        <v>3865382938.4684286</v>
      </c>
      <c r="D19" s="79">
        <f>C19-B19</f>
        <v>1615382938.4684286</v>
      </c>
    </row>
    <row r="20" spans="1:4" ht="20" customHeight="1" x14ac:dyDescent="0.6">
      <c r="A20" s="31">
        <v>4</v>
      </c>
      <c r="B20" s="78">
        <f>IF(A20&lt;=5, '3.Phan Bo 3 Lop'!C24, FV(B6/12, (A20-5)*12, -B5, -'3.Phan Bo 3 Lop'!C24))</f>
        <v>2250000000</v>
      </c>
      <c r="C20" s="78">
        <f>FV(B6/12, A20*12, -B5, -'3.Phan Bo 3 Lop'!C24)</f>
        <v>4545847791.3092442</v>
      </c>
      <c r="D20" s="79">
        <f>C20-B20</f>
        <v>2295847791.3092442</v>
      </c>
    </row>
    <row r="21" spans="1:4" ht="20" customHeight="1" x14ac:dyDescent="0.6">
      <c r="A21" s="31">
        <v>5</v>
      </c>
      <c r="B21" s="78">
        <f>IF(A21&lt;=5, '3.Phan Bo 3 Lop'!C24, FV(B6/12, (A21-5)*12, -B5, -'3.Phan Bo 3 Lop'!C24))</f>
        <v>2250000000</v>
      </c>
      <c r="C21" s="78">
        <f>FV(B6/12, A21*12, -B5, -'3.Phan Bo 3 Lop'!C24)</f>
        <v>5312612619.6153431</v>
      </c>
      <c r="D21" s="79">
        <f>C21-B21</f>
        <v>3062612619.6153431</v>
      </c>
    </row>
    <row r="22" spans="1:4" ht="20" customHeight="1" x14ac:dyDescent="0.6">
      <c r="A22" s="31">
        <v>6</v>
      </c>
      <c r="B22" s="78">
        <f>IF(A22&lt;=5, '3.Phan Bo 3 Lop'!C24, FV(B6/12, (A22-5)*12, -B5, -'3.Phan Bo 3 Lop'!C24))</f>
        <v>2725593862.9948869</v>
      </c>
      <c r="C22" s="78">
        <f>FV(B6/12, A22*12, -B5, -'3.Phan Bo 3 Lop'!C24)</f>
        <v>6176622420.3754978</v>
      </c>
      <c r="D22" s="79">
        <f>C22-B22</f>
        <v>3451028557.3806109</v>
      </c>
    </row>
    <row r="23" spans="1:4" ht="20" customHeight="1" x14ac:dyDescent="0.6">
      <c r="A23" s="31">
        <v>7</v>
      </c>
      <c r="B23" s="78">
        <f>IF(A23&lt;=5, '3.Phan Bo 3 Lop'!C24, FV(B6/12, (A23-5)*12, -B5, -'3.Phan Bo 3 Lop'!C24))</f>
        <v>3261504931.9946814</v>
      </c>
      <c r="C23" s="78">
        <f>FV(B6/12, A23*12, -B5, -'3.Phan Bo 3 Lop'!C24)</f>
        <v>7150210290.1513748</v>
      </c>
      <c r="D23" s="79">
        <f>C23-B23</f>
        <v>3888705358.1566935</v>
      </c>
    </row>
    <row r="24" spans="1:4" ht="20" customHeight="1" x14ac:dyDescent="0.6">
      <c r="A24" s="31">
        <v>8</v>
      </c>
      <c r="B24" s="78">
        <f>IF(A24&lt;=5, '3.Phan Bo 3 Lop'!C24, FV(B6/12, (A24-5)*12, -B5, -'3.Phan Bo 3 Lop'!C24))</f>
        <v>3865382938.4684286</v>
      </c>
      <c r="C24" s="78">
        <f>FV(B6/12, A24*12, -B5, -'3.Phan Bo 3 Lop'!C24)</f>
        <v>8247273470.8476982</v>
      </c>
      <c r="D24" s="79">
        <f>C24-B24</f>
        <v>4381890532.3792696</v>
      </c>
    </row>
    <row r="25" spans="1:4" ht="20" customHeight="1" x14ac:dyDescent="0.6">
      <c r="A25" s="31">
        <v>9</v>
      </c>
      <c r="B25" s="78">
        <f>IF(A25&lt;=5, '3.Phan Bo 3 Lop'!C24, FV(B6/12, (A25-5)*12, -B5, -'3.Phan Bo 3 Lop'!C24))</f>
        <v>4545847791.3092442</v>
      </c>
      <c r="C25" s="78">
        <f>FV(B6/12, A25*12, -B5, -'3.Phan Bo 3 Lop'!C24)</f>
        <v>9483471722.4925079</v>
      </c>
      <c r="D25" s="79">
        <f>C25-B25</f>
        <v>4937623931.1832638</v>
      </c>
    </row>
    <row r="26" spans="1:4" ht="20" customHeight="1" x14ac:dyDescent="0.6">
      <c r="A26" s="31">
        <v>10</v>
      </c>
      <c r="B26" s="78">
        <f>IF(A26&lt;=5, '3.Phan Bo 3 Lop'!C24, FV(B6/12, (A26-5)*12, -B5, -'3.Phan Bo 3 Lop'!C24))</f>
        <v>5312612619.6153431</v>
      </c>
      <c r="C26" s="78">
        <f>FV(B6/12, A26*12, -B5, -'3.Phan Bo 3 Lop'!C24)</f>
        <v>10876450854.651262</v>
      </c>
      <c r="D26" s="79">
        <f>C26-B26</f>
        <v>5563838235.0359192</v>
      </c>
    </row>
    <row r="27" spans="1:4" ht="20" customHeight="1" x14ac:dyDescent="0.6">
      <c r="A27" s="31">
        <v>15</v>
      </c>
      <c r="B27" s="78">
        <f>IF(A27&lt;=5, '3.Phan Bo 3 Lop'!C24, FV(B6/12, (A27-5)*12, -B5, -'3.Phan Bo 3 Lop'!C24))</f>
        <v>10876450854.651262</v>
      </c>
      <c r="C27" s="78">
        <f>FV(B6/12, A27*12, -B5, -'3.Phan Bo 3 Lop'!C24)</f>
        <v>20984257407.585674</v>
      </c>
      <c r="D27" s="79">
        <f>C27-B27</f>
        <v>10107806552.934412</v>
      </c>
    </row>
    <row r="28" spans="1:4" ht="20" customHeight="1" thickBot="1" x14ac:dyDescent="0.65">
      <c r="A28" s="38">
        <v>20</v>
      </c>
      <c r="B28" s="80">
        <f>IF(A28&lt;=5, '3.Phan Bo 3 Lop'!C24, FV(B6/12, (A28-5)*12, -B5, -'3.Phan Bo 3 Lop'!C24))</f>
        <v>20984257407.585674</v>
      </c>
      <c r="C28" s="80">
        <f>FV(B6/12, A28*12, -B5, -'3.Phan Bo 3 Lop'!C24)</f>
        <v>39347076202.026108</v>
      </c>
      <c r="D28" s="81">
        <f>C28-B28</f>
        <v>18362818794.440434</v>
      </c>
    </row>
    <row r="29" spans="1:4" ht="16.899999999999999" thickTop="1" x14ac:dyDescent="0.6"/>
  </sheetData>
  <mergeCells count="5">
    <mergeCell ref="A1:H1"/>
    <mergeCell ref="A2:H2"/>
    <mergeCell ref="A4:D4"/>
    <mergeCell ref="A9:D9"/>
    <mergeCell ref="A15:D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0.Huong Dan</vt:lpstr>
      <vt:lpstr>1.Ban Do Bao Ve</vt:lpstr>
      <vt:lpstr>2.Quy Hoc Van</vt:lpstr>
      <vt:lpstr>3.Phan Bo 3 Lop</vt:lpstr>
      <vt:lpstr>4.Lo Trinh FIRE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Surface</dc:creator>
  <cp:lastModifiedBy>Surface</cp:lastModifiedBy>
  <dcterms:created xsi:type="dcterms:W3CDTF">2026-05-25T23:52:23Z</dcterms:created>
  <dcterms:modified xsi:type="dcterms:W3CDTF">2026-05-25T23:52:28Z</dcterms:modified>
</cp:coreProperties>
</file>