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Projects in Claude\nguyenngocung.com\"/>
    </mc:Choice>
  </mc:AlternateContent>
  <xr:revisionPtr revIDLastSave="0" documentId="13_ncr:1_{9545600E-F109-4148-934F-9091D0B2D9D4}" xr6:coauthVersionLast="47" xr6:coauthVersionMax="47" xr10:uidLastSave="{00000000-0000-0000-0000-000000000000}"/>
  <bookViews>
    <workbookView xWindow="-98" yWindow="-98" windowWidth="21795" windowHeight="13996" xr2:uid="{64AD587E-A5AE-4E68-9932-1D498B77127B}"/>
  </bookViews>
  <sheets>
    <sheet name="0.Refactor Guide" sheetId="1" r:id="rId1"/>
    <sheet name="1.Toi Uu Thue" sheetId="2" r:id="rId2"/>
    <sheet name="2.Runway &amp; Stress Test" sheetId="3" r:id="rId3"/>
    <sheet name="3.Phan Bo 3 Lop" sheetId="4" r:id="rId4"/>
    <sheet name="4.Lo Trinh FIR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5" l="1"/>
  <c r="C30" i="5"/>
  <c r="B30" i="5"/>
  <c r="D29" i="5"/>
  <c r="C29" i="5"/>
  <c r="B29" i="5"/>
  <c r="D28" i="5"/>
  <c r="C28" i="5"/>
  <c r="B28" i="5"/>
  <c r="D27" i="5"/>
  <c r="C27" i="5"/>
  <c r="B27" i="5"/>
  <c r="D26" i="5"/>
  <c r="C26" i="5"/>
  <c r="B26" i="5"/>
  <c r="D25" i="5"/>
  <c r="C25" i="5"/>
  <c r="B25" i="5"/>
  <c r="D24" i="5"/>
  <c r="C24" i="5"/>
  <c r="B24" i="5"/>
  <c r="D23" i="5"/>
  <c r="C23" i="5"/>
  <c r="B23" i="5"/>
  <c r="D22" i="5"/>
  <c r="C22" i="5"/>
  <c r="B22" i="5"/>
  <c r="D21" i="5"/>
  <c r="C21" i="5"/>
  <c r="B21" i="5"/>
  <c r="D20" i="5"/>
  <c r="C20" i="5"/>
  <c r="B20" i="5"/>
  <c r="D19" i="5"/>
  <c r="C19" i="5"/>
  <c r="B19" i="5"/>
  <c r="C15" i="5"/>
  <c r="B15" i="5"/>
  <c r="C14" i="5"/>
  <c r="B14" i="5"/>
  <c r="B10" i="5"/>
  <c r="B8" i="5"/>
  <c r="B7" i="5"/>
  <c r="B6" i="5"/>
  <c r="F30" i="4"/>
  <c r="E30" i="4"/>
  <c r="D30" i="4"/>
  <c r="B30" i="4" s="1"/>
  <c r="C30" i="4"/>
  <c r="F29" i="4"/>
  <c r="E29" i="4"/>
  <c r="D29" i="4"/>
  <c r="B29" i="4" s="1"/>
  <c r="C29" i="4"/>
  <c r="F28" i="4"/>
  <c r="E28" i="4"/>
  <c r="D28" i="4"/>
  <c r="B28" i="4" s="1"/>
  <c r="C28" i="4"/>
  <c r="C24" i="4"/>
  <c r="B13" i="4"/>
  <c r="B12" i="4"/>
  <c r="B11" i="4" s="1"/>
  <c r="B10" i="4"/>
  <c r="C34" i="3"/>
  <c r="B34" i="3"/>
  <c r="B33" i="3"/>
  <c r="B32" i="3"/>
  <c r="B31" i="3"/>
  <c r="B24" i="3"/>
  <c r="C17" i="3"/>
  <c r="B17" i="3"/>
  <c r="C16" i="3"/>
  <c r="B16" i="3"/>
  <c r="B15" i="3"/>
  <c r="B14" i="3"/>
  <c r="B13" i="3"/>
  <c r="D28" i="2"/>
  <c r="C6" i="2" s="1"/>
  <c r="D26" i="2"/>
  <c r="C26" i="2"/>
  <c r="B26" i="2"/>
  <c r="D25" i="2"/>
  <c r="C25" i="2"/>
  <c r="B25" i="2"/>
  <c r="D24" i="2"/>
  <c r="C24" i="2"/>
  <c r="B24" i="2"/>
  <c r="D23" i="2"/>
  <c r="B23" i="2"/>
  <c r="D22" i="2"/>
  <c r="B22" i="2"/>
  <c r="D21" i="2"/>
  <c r="B21" i="2"/>
  <c r="D20" i="2"/>
  <c r="D19" i="2"/>
  <c r="C19" i="2"/>
  <c r="B19" i="2"/>
  <c r="B15" i="2"/>
  <c r="E6" i="2"/>
  <c r="A6" i="2" l="1"/>
</calcChain>
</file>

<file path=xl/sharedStrings.xml><?xml version="1.0" encoding="utf-8"?>
<sst xmlns="http://schemas.openxmlformats.org/spreadsheetml/2006/main" count="199" uniqueCount="188">
  <si>
    <t>BẢN ĐỒ REFACTOR TÀI CHÍNH CÁ NHÂN DÀNH CHO KỸ SƯ TECH &amp; REMOTE WORKERS</t>
  </si>
  <si>
    <t>Công cụ Tự động hóa Phân bổ 3 Lớp &amp; Lá chắn Thuế Tối ưu | Nguyễn Ngọc Ưng · FIDT</t>
  </si>
  <si>
    <t>GIỚI THIỆU: HỆ THỐNG REFACTOR CONFIG TÀI CHÍNH</t>
  </si>
  <si>
    <t>Chào các nhà phát triển và chuyên gia công nghệ làm việc remote. Bản tính Excel này được thiết kế để giúp bạn 'refactor' cấu hình tài chính cá nhân của mình dựa trên dữ liệu thực tế và các quy định pháp luật thuế Việt Nam. Bằng cách tự chẩn đoán mã nguồn dòng tiền, bạn sẽ phát hiện và vá các lỗ rò rỉ âm thầm từ thuế lũy tiến từng phần, cơ cấu lại đệm sinh tồn và phân bổ danh mục đầu tư logic.</t>
  </si>
  <si>
    <t>CẤU TRÚC HỆ THỐNG</t>
  </si>
  <si>
    <t>[1]  Tab 1: Toi Uu Thue   →   So sánh trực tiếp thuế TNCN lũy tiến từng phần (lên đến 35%) so với các mô hình đóng thuế khoán của Hộ kinh doanh cá thể làm phần mềm/MMO xuất khẩu theo Thông tư 40/2021/TT-BTC.</t>
  </si>
  <si>
    <t>[2]  Tab 2: Runway       →   Stress-test Runway dòng tiền dưới 2 kịch bản chi tiêu (Bình thường vs Sinh tồn). Đồng thời tích hợp bộ công cụ đo lường Rủi ro giảm tỷ giá USD/VND và định giá Bảo hiểm Sinh mạng bằng chiết khấu dòng tiền TVM.</t>
  </si>
  <si>
    <t>[3]  Tab 3: Phan Bo      →   Đo lường sự lệch pha (%) giữa danh mục tài sản thực tế của bạn so với mục tiêu đề xuất dựa trên tuổi và khẩu vị rủi ro. Tính toán số tiền (VND) cần cấu trúc lại cụ thể và vẽ biểu đồ trực quan.</t>
  </si>
  <si>
    <t>[4]  Tab 4: Lo Trinh FIRE →   Mô phỏng thời gian chạm mốc Tự do tài chính (Lean FIRE &amp; Fat FIRE) sử dụng thuật toán NPER của Excel. Dự báo sức mạnh tích lũy lãi kép 20 năm khi tái đầu tư toàn bộ số thuế tiết kiệm được.</t>
  </si>
  <si>
    <t>HƯỚNG DẪN NHẬP CONFIG</t>
  </si>
  <si>
    <t>✔  Hãy điền dữ liệu đầu vào vào các ô màu vàng nhạt (ô có viền và nền vàng nhạt).</t>
  </si>
  <si>
    <t>✔  Các ô màu khác chứa công thức tự động tính toán, vui lòng không tự ý sửa đổi công thức.</t>
  </si>
  <si>
    <t>✔  Toàn bộ dữ liệu được lưu trữ ngoại tuyến trên máy tính cá nhân của bạn, bảo mật tuyệt đối.</t>
  </si>
  <si>
    <t>✔  Sau khi điền, hãy quét mã QR/Zalo ở chân trang để đặt lịch hẹn rà soát chi tiết cùng Cố vấn Nguyễn Ngọc Ưng.</t>
  </si>
  <si>
    <t>THÔNG TIN CỐ VẤN ĐỒNG HÀNH</t>
  </si>
  <si>
    <t>Nguyễn Ngọc Ưng · Học viên Hoạch định Tài chính (Được hỗ trợ &amp; giám sát chuyên môn bởi Đội ngũ Chuyên gia FIDT)</t>
  </si>
  <si>
    <t>Zalo: 0826814678 · Website: www.nguyenngocung.com · Cal.com: https://cal.com/ngocung-fidt/fhc-1on1</t>
  </si>
  <si>
    <t>PHẦN 1 — TỐI ƯU HÓA THUẾ TNCN CHO REMOTE CONTRACTOR</t>
  </si>
  <si>
    <t>So sánh trực tiếp Thuế TNCN lũy tiến vãng lai vs. Hộ kinh doanh cá thể khoán ưu đãi</t>
  </si>
  <si>
    <t>⚡  BẢNG CHỈ SỐ TỐI ƯU THUẾ</t>
  </si>
  <si>
    <t>TỶ LỆ GIẢM THUẾ</t>
  </si>
  <si>
    <t>Lá chắn thuế tối ưu</t>
  </si>
  <si>
    <t>TIẾT KIỆM HÀNG NĂM</t>
  </si>
  <si>
    <t>Số tiền giữ lại được</t>
  </si>
  <si>
    <t>TÀI SẢN THẶNG DƯ (20 NĂM)</t>
  </si>
  <si>
    <t>Tái đầu tư tích lũy lãi kép 12%</t>
  </si>
  <si>
    <t>👤  BƯỚC 1: NHẬP DỮ LIỆU ĐẦU VÀO DOANH THU REMOTE</t>
  </si>
  <si>
    <t>Doanh thu Remote hàng tháng (Gross VND)</t>
  </si>
  <si>
    <t>* Số tiền nhận về từ công ty nước ngoài (chưa trừ thuế)</t>
  </si>
  <si>
    <t>Số người phụ thuộc gia cảnh</t>
  </si>
  <si>
    <t>* Bố mẹ không thu nhập, con cái (Giảm trừ 4.4 triệu/người)</t>
  </si>
  <si>
    <t>Bảo hiểm đóng tự nguyện / Khác</t>
  </si>
  <si>
    <t>* Các khoản giảm trừ đóng bảo hiểm y tế tự nguyện (nếu có)</t>
  </si>
  <si>
    <t>Quỹ hưu trí tự nguyện đóng góp</t>
  </si>
  <si>
    <t>* Miễn thuế tối đa 1 triệu/tháng</t>
  </si>
  <si>
    <t>Loại hình thu nhập remote/MMO (Chọn mã)</t>
  </si>
  <si>
    <t>* Hãy kích đúp chuột vào ô màu vàng nhạt bên cạnh để chọn</t>
  </si>
  <si>
    <t>1. Software Export (Thuế 2% - TT40)</t>
  </si>
  <si>
    <t>Thuế suất khoán tương ứng (Được tra cứu)</t>
  </si>
  <si>
    <t>* Mức thuế khoán thực tế theo Thông tư 40/2021/TT-BTC</t>
  </si>
  <si>
    <t>📊  BƯỚC 2: BẢNG SO SÁNH VÀ REFAC ĐỐI CHIẾU THUẾ TNCN (ĐƠN VỊ: VND)</t>
  </si>
  <si>
    <t>Khoản mục tính toán</t>
  </si>
  <si>
    <t>Hiện tại (Lũy Tiến)</t>
  </si>
  <si>
    <t>Đề xuất tối ưu (HKD)</t>
  </si>
  <si>
    <t>Thuế tiết kiệm</t>
  </si>
  <si>
    <t>Diễn giải công thức thuế suất</t>
  </si>
  <si>
    <t>Tổng thu nhập gộp hàng tháng</t>
  </si>
  <si>
    <t>Tổng doanh thu remote gộp chưa thuế</t>
  </si>
  <si>
    <t>Giảm trừ gia cảnh bản thân</t>
  </si>
  <si>
    <t>HKD không áp dụng giảm trừ gia cảnh</t>
  </si>
  <si>
    <t>Giảm trừ người phụ thuộc</t>
  </si>
  <si>
    <t>Cố định 4.4 triệu đồng/người/tháng</t>
  </si>
  <si>
    <t>Giảm trừ đóng bảo hiểm</t>
  </si>
  <si>
    <t>Theo số bảo hiểm xã hội bắt buộc tự đóng</t>
  </si>
  <si>
    <t>Giảm trừ hưu trí tự nguyện</t>
  </si>
  <si>
    <t>Khấu trừ tối đa 1 triệu đồng/tháng</t>
  </si>
  <si>
    <t>Tổng các khoản giảm trừ</t>
  </si>
  <si>
    <t>Tổng khấu trừ gia cảnh và bảo hiểm</t>
  </si>
  <si>
    <t>Thu nhập tính thuế</t>
  </si>
  <si>
    <t>Hộ kinh doanh đóng thuế phẳng trên doanh thu</t>
  </si>
  <si>
    <t>THUẾ TNCN PHẢI NỘP / THÁNG</t>
  </si>
  <si>
    <t>Thuế TNCN lũy tiến vãng lai vs Thuế khoán</t>
  </si>
  <si>
    <t>💰  TỔNG SỐ TIỀN THUẾ TIẾT KIỆM ĐƯỢC MỖI NĂM</t>
  </si>
  <si>
    <t>PHẦN 2 — STRESS-TEST RUNWAY &amp; THIẾT KẾ PHÒNG THỦ</t>
  </si>
  <si>
    <t>Kiểm tra độ vững chắc dòng tiền và lá chắn bảo vệ Human Capital</t>
  </si>
  <si>
    <t>⚙️  BƯỚC 1: CÁC THÔNG SỐ CONFIG DÒNG TIỀN GIA ĐÌNH</t>
  </si>
  <si>
    <t>Tổng tiền mặt &amp; tiền gửi thanh khoản</t>
  </si>
  <si>
    <t>* Tài khoản thanh toán, tiết kiệm online rút được ngay</t>
  </si>
  <si>
    <t>Tổng tiền gửi kỳ hạn ngắn</t>
  </si>
  <si>
    <t>* Các chứng chỉ tiền gửi, tiết kiệm 1-3 tháng</t>
  </si>
  <si>
    <t>Chi phí sinh hoạt tối thiểu tháng (Survival)</t>
  </si>
  <si>
    <t>* Tiền thuê nhà, ăn uống cơ bản, nghĩa vụ nợ bắt buộc</t>
  </si>
  <si>
    <t>Chi phí nâng cấp phong cách sống (Lifestyle)</t>
  </si>
  <si>
    <t>* Gym, Netflix, cafe, du lịch, ăn uống cao cấp bên ngoài</t>
  </si>
  <si>
    <t>Nợ vay mua nhà/đất đang trả hàng tháng</t>
  </si>
  <si>
    <t>* Tiền gốc + lãi vay mua nhà/đất đang trả hàng tháng (nếu có)</t>
  </si>
  <si>
    <t>🛡️  BƯỚC 2: BÁO CÁO RUNWAY (SỐ THÁNG SỐNG SÓT KHI MẤT DÒNG THU)</t>
  </si>
  <si>
    <t>Chỉ số Runway</t>
  </si>
  <si>
    <t>Giá trị</t>
  </si>
  <si>
    <t>Cảnh báo &amp; Đánh giá mức độ an toàn</t>
  </si>
  <si>
    <t>Tổng tài sản sinh tồn</t>
  </si>
  <si>
    <t>Tổng đệm tiền mặt an toàn</t>
  </si>
  <si>
    <t>Chi phí sinh hoạt hàng tháng (Normal)</t>
  </si>
  <si>
    <t>Tổng chi bình thường gồm cả phong cách sống</t>
  </si>
  <si>
    <t>Chi phí sinh hoạt sinh tồn (Stress)</t>
  </si>
  <si>
    <t>Cắt toàn bộ chi tiêu lifestyle, chỉ giữ lại Survival + Nợ</t>
  </si>
  <si>
    <t>RUNWAY THƯỜNG (SỐ THÁNG)</t>
  </si>
  <si>
    <t>RUNWAY SINH TỒN (SỐ THÁNG)</t>
  </si>
  <si>
    <t>🛡️  BƯỚC 3: PHÒNG VỆ HUMAN CAPITAL (NĂNG LỰC KIẾM TIỀN)</t>
  </si>
  <si>
    <t>Mức thu nhập thặng dư muốn bảo vệ / Tháng</t>
  </si>
  <si>
    <t>* Số tiền bạn muốn đảm bảo gửi về cho gia đình nếu gặp biến cố lớn</t>
  </si>
  <si>
    <t>Số năm bảo vệ mục tiêu</t>
  </si>
  <si>
    <t>* Thường là thời gian cho con khôn lớn (Ví dụ: 15-20 năm)</t>
  </si>
  <si>
    <t>Lãi suất thực tế kỳ vọng net lạm phát</t>
  </si>
  <si>
    <t>* FIDT khuyên dùng tỷ lệ chiết khấu thực tế an toàn 2.5%</t>
  </si>
  <si>
    <t>MỆNH GIÁ BẢO HIỂM SINH MẠNG CẦN CÓ (TVM)</t>
  </si>
  <si>
    <t>Số tiền đền bù bảo hiểm tối thiểu cần thiết để thay thế thu nhập của bạn</t>
  </si>
  <si>
    <t>💱  BƯỚC 4: USD/VND EXCHANGE RATE SHOCK (DÀNH CHO REMOTE WORKERS)</t>
  </si>
  <si>
    <t>Thu nhập ngoại tệ hàng tháng (USD)</t>
  </si>
  <si>
    <t>* Mức lương nhận bằng USD hàng tháng trước khi quy đổi</t>
  </si>
  <si>
    <t>Tỷ giá quy đổi cơ sở (VND/USD)</t>
  </si>
  <si>
    <t>* Tỷ giá hiện tại của ngân hàng thương mại đang áp dụng</t>
  </si>
  <si>
    <t>Tỷ lệ giảm giá ngoại tệ giả định (%)</t>
  </si>
  <si>
    <t>* FIDT khuyến nghị stress-test giảm 3.0% (VNĐ lên giá)</t>
  </si>
  <si>
    <t>Tỷ giá sau khi biến động giảm (VND/USD)</t>
  </si>
  <si>
    <t>Tỷ giá ước tính khi biến động tiêu cực xảy ra</t>
  </si>
  <si>
    <t>Thu nhập danh định ban đầu (VND)</t>
  </si>
  <si>
    <t>Tổng thu nhập quy đổi theo tỷ giá chuẩn ban đầu</t>
  </si>
  <si>
    <t>Thu nhập thực tế sau biến động (VND)</t>
  </si>
  <si>
    <t>Thu nhập quy đổi khi VND tăng giá so với USD</t>
  </si>
  <si>
    <t>Thiệt hại dòng tiền hàng tháng (VND)</t>
  </si>
  <si>
    <t>PHẦN 3 — CẤU HÌNH PHÂN BỔ DANH MỤC 3 LỚP (DEVELOPER THEME)</t>
  </si>
  <si>
    <t>Xác định mục tiêu allocation · Tự động tính toán số tiền VND cần rebalance</t>
  </si>
  <si>
    <t>👤  BƯỚC 1: KHẨU VỊ RỦI RO &amp; CONFIG TUỔI TÁC</t>
  </si>
  <si>
    <t>Tuổi hiện tại của bạn</t>
  </si>
  <si>
    <t>* Tác động đến thời gian tích lũy</t>
  </si>
  <si>
    <t>Khẩu vị rủi ro (Thap / Trung Binh / Cao)</t>
  </si>
  <si>
    <t>* Thống nhất 3 mức để tính tỷ lệ đề xuất tự động</t>
  </si>
  <si>
    <t>Trung Binh</t>
  </si>
  <si>
    <t>🤖  BƯỚC 2: KHUYẾN NGHỊ PHÂN BỔ 3 LỚP (TARGET CONFIG)</t>
  </si>
  <si>
    <t>Lớp Tài Sản</t>
  </si>
  <si>
    <t>Tỷ Lệ Đề Xuất</t>
  </si>
  <si>
    <t>Sản phẩm đầu tư tích sản gợi ý</t>
  </si>
  <si>
    <t>🛡️ Lớp Phòng Thủ (Core System)</t>
  </si>
  <si>
    <t>Quỹ khẩn cấp sinh tồn, chứng chỉ tiền gửi, bảo hiểm nhân thọ/sức khỏe.</t>
  </si>
  <si>
    <t>📈 Lớp Tích Sản (Scaled Production)</t>
  </si>
  <si>
    <t>Động cơ sinh lời chính: Chứng chỉ quỹ mở cổ phiếu (DCA), ETF, BĐS tích lũy.</t>
  </si>
  <si>
    <t>🚀 Lớp Cơ Hội (Experimental Sandbox)</t>
  </si>
  <si>
    <t>Danh mục mạo hiểm tìm kiếm đột phá: Crypto (BTC/ETH), cổ phiếu trading, vàng.</t>
  </si>
  <si>
    <t>TỔNG CỘNG MỤC TIÊU</t>
  </si>
  <si>
    <t>Bắt buộc bằng 100% để hệ thống phân bổ hoạt động chuẩn xác</t>
  </si>
  <si>
    <t>🏦  BƯỚC 3: CHI TIẾT TÀI SẢN THỰC TẾ HIỆN TẠI DƯỚI DẠNG CONFIG</t>
  </si>
  <si>
    <t>Kênh đầu tư / Tài sản</t>
  </si>
  <si>
    <t>Lớp Tài Sản phân loại</t>
  </si>
  <si>
    <t>Số tiền hiện có (VND)</t>
  </si>
  <si>
    <t>Nơi lưu giữ / Tổ chức quản lý tài sản</t>
  </si>
  <si>
    <t>Tiền mặt &amp; tiết kiệm online</t>
  </si>
  <si>
    <t>Tài khoản thanh toán Techcombank</t>
  </si>
  <si>
    <t>Chứng chỉ tiền gửi (CCTG)</t>
  </si>
  <si>
    <t>VPBank CCTG 6 tháng</t>
  </si>
  <si>
    <t>Chứng chỉ quỹ cổ phiếu (DCA)</t>
  </si>
  <si>
    <t>VinaCapital VESAF mua qua Fmarket</t>
  </si>
  <si>
    <t>Bất động sản tích lũy</t>
  </si>
  <si>
    <t>Đất nền sổ đỏ dài hạn</t>
  </si>
  <si>
    <t>Cổ phiếu cá nhân trading</t>
  </si>
  <si>
    <t>Tài khoản VPS Trading</t>
  </si>
  <si>
    <t>Vàng vật chất nhẫn trơn</t>
  </si>
  <si>
    <t>Nhẫn trơn PNJ tích trữ</t>
  </si>
  <si>
    <t>Crypto (BTC/ETH)</t>
  </si>
  <si>
    <t>Trữ ví lạnh Ledger</t>
  </si>
  <si>
    <t>TỔNG GIA SẢN ĐẦU TƯ THỰC TẾ</t>
  </si>
  <si>
    <t>Tổng cộng</t>
  </si>
  <si>
    <t>Tổng tài sản ròng đầu tư</t>
  </si>
  <si>
    <t>📊  BƯỚC 4: ĐỐI CHIẾU THỰC TẾ VS MỤC TIÊU &amp; CẢNH BÁO REBALANCE</t>
  </si>
  <si>
    <t>% Thực Tế</t>
  </si>
  <si>
    <t>% Đề Xuất</t>
  </si>
  <si>
    <t>Thực tế (VND)</t>
  </si>
  <si>
    <t>Độ Lệch (%)</t>
  </si>
  <si>
    <t>Hành động tái cân bằng (VND cụ thể)</t>
  </si>
  <si>
    <t>PHẦN 4 — MÔ PHỎNG LỘ TRÌNH TỰ DO TÀI CHÍNH (FIRE ROADMAP)</t>
  </si>
  <si>
    <t>Tính toán thời gian cán mốc tự do tài chính và dự báo tích lũy thặng dư</t>
  </si>
  <si>
    <t>⚙️  BƯỚC 1: THÔNG SỐ CONFIG LỘ TRÌNH FIRE &amp; RỦI RO TỶ GIÁ</t>
  </si>
  <si>
    <t>Số tiền tự tích lũy thặng dư cơ sở hàng tháng</t>
  </si>
  <si>
    <t>* Số tiền đầu tư đều đặn từ thu nhập thặng dư (VND)</t>
  </si>
  <si>
    <t>Thiệt hại dòng tiền do tỷ giá USD dự báo</t>
  </si>
  <si>
    <t>* Liên kết tự động từ Tab 2: Công cụ Rủi ro tỷ giá (VND)</t>
  </si>
  <si>
    <t>Số tiền tự tích lũy thực tế sau sốc tỷ giá</t>
  </si>
  <si>
    <t>* Số tiền thực tế đầu tư hàng tháng sau khi trừ thiệt hại tỷ giá</t>
  </si>
  <si>
    <t>Số tiền thuế tiết kiệm thêm hàng tháng</t>
  </si>
  <si>
    <t>* Liên kết tự động từ Tab 1: Tối ưu thuế (VND)</t>
  </si>
  <si>
    <t>Lãi suất kỳ vọng danh mục hàng năm (%)</t>
  </si>
  <si>
    <t>* Gợi ý: 10% - 12% đối với rổ quỹ mở cổ phiếu tăng trưởng</t>
  </si>
  <si>
    <t>Chi phí sinh hoạt hàng tháng lúc nghỉ hưu</t>
  </si>
  <si>
    <t>* Liên kết tự động từ Tab 2: Chi phí sinh hoạt Normal (VND)</t>
  </si>
  <si>
    <t>🔮  BƯỚC 2: CÁC MỐC KHÁNH THÀNH TỰ DO TÀI CHÍNH</t>
  </si>
  <si>
    <t>Cột mốc tự do</t>
  </si>
  <si>
    <t>Giá trị mục tiêu (VND)</t>
  </si>
  <si>
    <t>Số năm tích lũy cần thiết</t>
  </si>
  <si>
    <t>Chi tiết mô tả cọc mốc nghỉ hưu</t>
  </si>
  <si>
    <t>Lean FIRE (Độc lập tài chính tối thiểu)</t>
  </si>
  <si>
    <t>Quỹ 25 lần chi phí tối thiểu, đảm bảo sống cơ bản</t>
  </si>
  <si>
    <t>Fat FIRE (Nghỉ hưu thoải mái)</t>
  </si>
  <si>
    <t>Cho phép mức sống tăng thêm 50% so với hiện tại</t>
  </si>
  <si>
    <t>📊  BƯỚC 3: MÔ PHỎNG TÍCH LŨY TÀI SẢN (LÃI KÉP 12%)</t>
  </si>
  <si>
    <t>Năm tích lũy</t>
  </si>
  <si>
    <t>Kịch bản A: Chỉ tích lũy cơ bản</t>
  </si>
  <si>
    <t>Kịch bản B: Tái đầu tư cả Thuế</t>
  </si>
  <si>
    <t>Thặng dư tăng thêm nhờ Thuế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</si>
</sst>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quot;#,##0"/>
  </numFmts>
  <fonts count="42" x14ac:knownFonts="1">
    <font>
      <sz val="11"/>
      <color theme="1"/>
      <name val="Calibri"/>
      <family val="2"/>
      <scheme val="minor"/>
    </font>
    <font>
      <b/>
      <sz val="16"/>
      <color rgb="FFFFFFFF"/>
      <name val="Segoe UI"/>
      <family val="2"/>
    </font>
    <font>
      <sz val="11"/>
      <color theme="1"/>
      <name val="Segoe UI"/>
      <family val="2"/>
    </font>
    <font>
      <sz val="10"/>
      <color rgb="FFFFFFFF"/>
      <name val="Segoe UI"/>
      <family val="2"/>
    </font>
    <font>
      <b/>
      <sz val="13"/>
      <color rgb="FFFFFFFF"/>
      <name val="Segoe UI"/>
      <family val="2"/>
    </font>
    <font>
      <sz val="10"/>
      <color rgb="FF6A7072"/>
      <name val="Segoe UI"/>
      <family val="2"/>
    </font>
    <font>
      <b/>
      <sz val="12"/>
      <color rgb="FFFFFFFF"/>
      <name val="Segoe UI"/>
      <family val="2"/>
    </font>
    <font>
      <b/>
      <sz val="11.5"/>
      <color rgb="FFFFFFFF"/>
      <name val="Segoe UI"/>
      <family val="2"/>
    </font>
    <font>
      <b/>
      <sz val="8.5"/>
      <color rgb="FF6A7072"/>
      <name val="Segoe UI"/>
      <family val="2"/>
    </font>
    <font>
      <b/>
      <sz val="15"/>
      <color rgb="FF527D2E"/>
      <name val="Segoe UI"/>
      <family val="2"/>
    </font>
    <font>
      <sz val="8.5"/>
      <color rgb="FF6A7072"/>
      <name val="Segoe UI"/>
      <family val="2"/>
    </font>
    <font>
      <b/>
      <sz val="10"/>
      <color rgb="FF002454"/>
      <name val="Segoe UI"/>
      <family val="2"/>
    </font>
    <font>
      <b/>
      <sz val="10"/>
      <color rgb="FF111111"/>
      <name val="Segoe UI"/>
      <family val="2"/>
    </font>
    <font>
      <b/>
      <sz val="9.5"/>
      <color rgb="FF111111"/>
      <name val="Segoe UI"/>
      <family val="2"/>
    </font>
    <font>
      <sz val="9.5"/>
      <color rgb="FF111111"/>
      <name val="Segoe UI"/>
      <family val="2"/>
    </font>
    <font>
      <b/>
      <sz val="10.5"/>
      <color rgb="FF002454"/>
      <name val="Segoe UI"/>
      <family val="2"/>
    </font>
    <font>
      <b/>
      <sz val="11.5"/>
      <color rgb="FF527D2E"/>
      <name val="Segoe UI"/>
      <family val="2"/>
    </font>
    <font>
      <b/>
      <sz val="9.5"/>
      <color rgb="FF6A7072"/>
      <name val="Segoe UI"/>
      <family val="2"/>
    </font>
    <font>
      <b/>
      <sz val="10"/>
      <color rgb="FFC0392B"/>
      <name val="Segoe UI"/>
      <family val="2"/>
    </font>
    <font>
      <sz val="11"/>
      <color theme="1"/>
      <name val="Consolas"/>
      <family val="3"/>
    </font>
    <font>
      <b/>
      <sz val="8.5"/>
      <color rgb="FF6A7072"/>
      <name val="Consolas"/>
      <family val="3"/>
    </font>
    <font>
      <b/>
      <sz val="15"/>
      <color rgb="FF527D2E"/>
      <name val="Consolas"/>
      <family val="3"/>
    </font>
    <font>
      <b/>
      <sz val="15"/>
      <color rgb="FFC9973A"/>
      <name val="Consolas"/>
      <family val="3"/>
    </font>
    <font>
      <sz val="8.5"/>
      <color rgb="FF6A7072"/>
      <name val="Consolas"/>
      <family val="3"/>
    </font>
    <font>
      <b/>
      <sz val="10"/>
      <color rgb="FF111111"/>
      <name val="Consolas"/>
      <family val="3"/>
    </font>
    <font>
      <i/>
      <sz val="8.5"/>
      <color rgb="FF6A7072"/>
      <name val="Consolas"/>
      <family val="3"/>
    </font>
    <font>
      <b/>
      <sz val="10"/>
      <color rgb="FF002454"/>
      <name val="Consolas"/>
      <family val="3"/>
    </font>
    <font>
      <b/>
      <sz val="9"/>
      <color rgb="FF6A7072"/>
      <name val="Consolas"/>
      <family val="3"/>
    </font>
    <font>
      <sz val="9.5"/>
      <color rgb="FF111111"/>
      <name val="Consolas"/>
      <family val="3"/>
    </font>
    <font>
      <sz val="10"/>
      <color rgb="FF111111"/>
      <name val="Consolas"/>
      <family val="3"/>
    </font>
    <font>
      <b/>
      <sz val="10.5"/>
      <color rgb="FF002454"/>
      <name val="Consolas"/>
      <family val="3"/>
    </font>
    <font>
      <b/>
      <sz val="11"/>
      <color rgb="FF527D2E"/>
      <name val="Consolas"/>
      <family val="3"/>
    </font>
    <font>
      <sz val="9"/>
      <color rgb="FF6A7072"/>
      <name val="Consolas"/>
      <family val="3"/>
    </font>
    <font>
      <b/>
      <sz val="14"/>
      <color rgb="FF527D2E"/>
      <name val="Consolas"/>
      <family val="3"/>
    </font>
    <font>
      <b/>
      <sz val="9.5"/>
      <color rgb="FF6A7072"/>
      <name val="Consolas"/>
      <family val="3"/>
    </font>
    <font>
      <b/>
      <sz val="11"/>
      <color rgb="FF002454"/>
      <name val="Consolas"/>
      <family val="3"/>
    </font>
    <font>
      <b/>
      <sz val="9.5"/>
      <color rgb="FFC0392B"/>
      <name val="Consolas"/>
      <family val="3"/>
    </font>
    <font>
      <b/>
      <sz val="12"/>
      <color rgb="FFC0392B"/>
      <name val="Consolas"/>
      <family val="3"/>
    </font>
    <font>
      <b/>
      <sz val="10.5"/>
      <color rgb="FFC0392B"/>
      <name val="Consolas"/>
      <family val="3"/>
    </font>
    <font>
      <i/>
      <sz val="10"/>
      <color rgb="FF6A7072"/>
      <name val="Consolas"/>
      <family val="3"/>
    </font>
    <font>
      <b/>
      <sz val="10.5"/>
      <color rgb="FF527D2E"/>
      <name val="Consolas"/>
      <family val="3"/>
    </font>
    <font>
      <b/>
      <sz val="9.5"/>
      <color rgb="FF527D2E"/>
      <name val="Consolas"/>
      <family val="3"/>
    </font>
  </fonts>
  <fills count="18">
    <fill>
      <patternFill patternType="none"/>
    </fill>
    <fill>
      <patternFill patternType="gray125"/>
    </fill>
    <fill>
      <patternFill patternType="solid">
        <fgColor rgb="FF002454"/>
        <bgColor indexed="64"/>
      </patternFill>
    </fill>
    <fill>
      <patternFill patternType="solid">
        <fgColor rgb="FFF01344"/>
        <bgColor indexed="64"/>
      </patternFill>
    </fill>
    <fill>
      <patternFill patternType="solid">
        <fgColor rgb="FFFAF8F4"/>
        <bgColor indexed="64"/>
      </patternFill>
    </fill>
    <fill>
      <patternFill patternType="solid">
        <fgColor rgb="FFF4F1EB"/>
        <bgColor indexed="64"/>
      </patternFill>
    </fill>
    <fill>
      <patternFill patternType="solid">
        <fgColor rgb="FFC9973A"/>
        <bgColor indexed="64"/>
      </patternFill>
    </fill>
    <fill>
      <patternFill patternType="solid">
        <fgColor rgb="FFFFFFFF"/>
        <bgColor indexed="64"/>
      </patternFill>
    </fill>
    <fill>
      <patternFill patternType="solid">
        <fgColor rgb="FFB9872A"/>
        <bgColor indexed="64"/>
      </patternFill>
    </fill>
    <fill>
      <patternFill patternType="solid">
        <fgColor rgb="FFF0F8FF"/>
        <bgColor indexed="64"/>
      </patternFill>
    </fill>
    <fill>
      <patternFill patternType="solid">
        <fgColor rgb="FFDDDDDD"/>
        <bgColor indexed="64"/>
      </patternFill>
    </fill>
    <fill>
      <patternFill patternType="solid">
        <fgColor rgb="FFDAEDD4"/>
        <bgColor indexed="64"/>
      </patternFill>
    </fill>
    <fill>
      <patternFill patternType="solid">
        <fgColor rgb="FFC0392B"/>
        <bgColor indexed="64"/>
      </patternFill>
    </fill>
    <fill>
      <patternFill patternType="solid">
        <fgColor rgb="FFB0291B"/>
        <bgColor indexed="64"/>
      </patternFill>
    </fill>
    <fill>
      <patternFill patternType="solid">
        <fgColor rgb="FFCDF3FF"/>
        <bgColor indexed="64"/>
      </patternFill>
    </fill>
    <fill>
      <patternFill patternType="solid">
        <fgColor rgb="FFDAD7F8"/>
        <bgColor indexed="64"/>
      </patternFill>
    </fill>
    <fill>
      <patternFill patternType="solid">
        <fgColor rgb="FF527D2E"/>
        <bgColor indexed="64"/>
      </patternFill>
    </fill>
    <fill>
      <patternFill patternType="solid">
        <fgColor rgb="FF426D1E"/>
        <bgColor indexed="64"/>
      </patternFill>
    </fill>
  </fills>
  <borders count="15">
    <border>
      <left/>
      <right/>
      <top/>
      <bottom/>
      <diagonal/>
    </border>
    <border>
      <left/>
      <right/>
      <top style="thin">
        <color indexed="64"/>
      </top>
      <bottom/>
      <diagonal/>
    </border>
    <border>
      <left/>
      <right/>
      <top style="thin">
        <color rgb="FF88BBCC"/>
      </top>
      <bottom/>
      <diagonal/>
    </border>
    <border>
      <left style="thin">
        <color rgb="FF88BBCC"/>
      </left>
      <right/>
      <top style="thin">
        <color rgb="FF88BBCC"/>
      </top>
      <bottom/>
      <diagonal/>
    </border>
    <border>
      <left/>
      <right style="thin">
        <color rgb="FF88BBCC"/>
      </right>
      <top style="thin">
        <color rgb="FF88BBCC"/>
      </top>
      <bottom/>
      <diagonal/>
    </border>
    <border>
      <left style="thin">
        <color rgb="FF88BBCC"/>
      </left>
      <right/>
      <top/>
      <bottom/>
      <diagonal/>
    </border>
    <border>
      <left/>
      <right style="thin">
        <color rgb="FF88BBCC"/>
      </right>
      <top/>
      <bottom/>
      <diagonal/>
    </border>
    <border>
      <left/>
      <right/>
      <top/>
      <bottom style="thin">
        <color rgb="FF88BBCC"/>
      </bottom>
      <diagonal/>
    </border>
    <border>
      <left style="thin">
        <color rgb="FF88BBCC"/>
      </left>
      <right/>
      <top/>
      <bottom style="thin">
        <color rgb="FF88BBCC"/>
      </bottom>
      <diagonal/>
    </border>
    <border>
      <left/>
      <right style="thin">
        <color rgb="FF88BBCC"/>
      </right>
      <top/>
      <bottom style="thin">
        <color rgb="FF88BBCC"/>
      </bottom>
      <diagonal/>
    </border>
    <border>
      <left style="thin">
        <color rgb="FF88BBCC"/>
      </left>
      <right/>
      <top style="thin">
        <color rgb="FF88BBCC"/>
      </top>
      <bottom style="thin">
        <color rgb="FF88BBCC"/>
      </bottom>
      <diagonal/>
    </border>
    <border>
      <left style="thin">
        <color rgb="FF88BBCC"/>
      </left>
      <right style="thin">
        <color rgb="FF88BBCC"/>
      </right>
      <top style="thin">
        <color rgb="FF88BBCC"/>
      </top>
      <bottom style="thin">
        <color rgb="FF88BBCC"/>
      </bottom>
      <diagonal/>
    </border>
    <border>
      <left style="thin">
        <color rgb="FF88BBCC"/>
      </left>
      <right style="thin">
        <color rgb="FF88BBCC"/>
      </right>
      <top style="thin">
        <color rgb="FF88BBCC"/>
      </top>
      <bottom/>
      <diagonal/>
    </border>
    <border>
      <left/>
      <right/>
      <top style="thin">
        <color indexed="64"/>
      </top>
      <bottom style="double">
        <color indexed="64"/>
      </bottom>
      <diagonal/>
    </border>
    <border>
      <left/>
      <right/>
      <top style="thin">
        <color rgb="FF88BBCC"/>
      </top>
      <bottom style="double">
        <color indexed="64"/>
      </bottom>
      <diagonal/>
    </border>
  </borders>
  <cellStyleXfs count="1">
    <xf numFmtId="0" fontId="0" fillId="0" borderId="0"/>
  </cellStyleXfs>
  <cellXfs count="115">
    <xf numFmtId="0" fontId="0" fillId="0" borderId="0" xfId="0"/>
    <xf numFmtId="0" fontId="2" fillId="0" borderId="0" xfId="0" applyFont="1"/>
    <xf numFmtId="0" fontId="4" fillId="2" borderId="0" xfId="0" applyFont="1" applyFill="1" applyAlignment="1">
      <alignment horizontal="left" wrapText="1" indent="1"/>
    </xf>
    <xf numFmtId="0" fontId="5" fillId="4" borderId="0" xfId="0" applyFont="1" applyFill="1" applyAlignment="1">
      <alignment horizontal="left" wrapText="1" indent="2"/>
    </xf>
    <xf numFmtId="0" fontId="5" fillId="5" borderId="0" xfId="0" applyFont="1" applyFill="1" applyAlignment="1">
      <alignment horizontal="left" wrapText="1" indent="2"/>
    </xf>
    <xf numFmtId="0" fontId="4" fillId="6" borderId="0" xfId="0" applyFont="1" applyFill="1" applyAlignment="1">
      <alignment horizontal="left" wrapText="1" indent="1"/>
    </xf>
    <xf numFmtId="0" fontId="5" fillId="7" borderId="0" xfId="0" applyFont="1" applyFill="1" applyAlignment="1">
      <alignment horizontal="left" wrapText="1" indent="2"/>
    </xf>
    <xf numFmtId="0" fontId="6" fillId="2" borderId="0" xfId="0" applyFont="1" applyFill="1" applyAlignment="1">
      <alignment horizontal="left" wrapText="1" indent="1"/>
    </xf>
    <xf numFmtId="0" fontId="11" fillId="0" borderId="0" xfId="0" applyFont="1" applyAlignment="1">
      <alignment wrapText="1"/>
    </xf>
    <xf numFmtId="0" fontId="11" fillId="10" borderId="0" xfId="0" applyFont="1" applyFill="1" applyAlignment="1">
      <alignment horizontal="left"/>
    </xf>
    <xf numFmtId="0" fontId="13" fillId="0" borderId="0" xfId="0" applyFont="1" applyAlignment="1">
      <alignment horizontal="left"/>
    </xf>
    <xf numFmtId="0" fontId="14" fillId="0" borderId="0" xfId="0" applyFont="1" applyAlignment="1">
      <alignment horizontal="left"/>
    </xf>
    <xf numFmtId="0" fontId="15" fillId="4" borderId="13" xfId="0" applyFont="1" applyFill="1" applyBorder="1" applyAlignment="1">
      <alignment horizontal="left"/>
    </xf>
    <xf numFmtId="0" fontId="15" fillId="4" borderId="1" xfId="0" applyFont="1" applyFill="1" applyBorder="1" applyAlignment="1">
      <alignment horizontal="left"/>
    </xf>
    <xf numFmtId="0" fontId="15" fillId="14" borderId="0" xfId="0" applyFont="1" applyFill="1" applyAlignment="1">
      <alignment horizontal="left"/>
    </xf>
    <xf numFmtId="0" fontId="18" fillId="15" borderId="13" xfId="0" applyFont="1" applyFill="1" applyBorder="1" applyAlignment="1">
      <alignment horizontal="left"/>
    </xf>
    <xf numFmtId="0" fontId="12" fillId="0" borderId="0" xfId="0" applyFont="1" applyAlignment="1">
      <alignment horizontal="left"/>
    </xf>
    <xf numFmtId="0" fontId="13" fillId="0" borderId="13" xfId="0" applyFont="1" applyBorder="1" applyAlignment="1">
      <alignment horizontal="left"/>
    </xf>
    <xf numFmtId="0" fontId="14" fillId="0" borderId="13" xfId="0" applyFont="1" applyBorder="1" applyAlignment="1">
      <alignment horizontal="left"/>
    </xf>
    <xf numFmtId="0" fontId="19" fillId="0" borderId="0" xfId="0" applyFont="1"/>
    <xf numFmtId="3" fontId="24" fillId="9" borderId="12" xfId="0" applyNumberFormat="1" applyFont="1" applyFill="1" applyBorder="1" applyAlignment="1">
      <alignment wrapText="1"/>
    </xf>
    <xf numFmtId="0" fontId="25" fillId="0" borderId="0" xfId="0" applyFont="1" applyAlignment="1">
      <alignment wrapText="1"/>
    </xf>
    <xf numFmtId="0" fontId="24" fillId="9" borderId="12" xfId="0" applyFont="1" applyFill="1" applyBorder="1" applyAlignment="1">
      <alignment wrapText="1"/>
    </xf>
    <xf numFmtId="164" fontId="24" fillId="7" borderId="11" xfId="0" applyNumberFormat="1" applyFont="1" applyFill="1" applyBorder="1" applyAlignment="1">
      <alignment horizontal="center" wrapText="1"/>
    </xf>
    <xf numFmtId="0" fontId="26" fillId="10" borderId="0" xfId="0" applyFont="1" applyFill="1" applyAlignment="1">
      <alignment horizontal="center"/>
    </xf>
    <xf numFmtId="0" fontId="27" fillId="10" borderId="0" xfId="0" applyFont="1" applyFill="1" applyAlignment="1">
      <alignment horizontal="left"/>
    </xf>
    <xf numFmtId="3" fontId="28" fillId="7" borderId="0" xfId="0" applyNumberFormat="1" applyFont="1" applyFill="1" applyAlignment="1">
      <alignment horizontal="center"/>
    </xf>
    <xf numFmtId="0" fontId="29" fillId="0" borderId="0" xfId="0" applyFont="1" applyAlignment="1">
      <alignment horizontal="left"/>
    </xf>
    <xf numFmtId="3" fontId="30" fillId="4" borderId="13" xfId="0" applyNumberFormat="1" applyFont="1" applyFill="1" applyBorder="1" applyAlignment="1">
      <alignment horizontal="center"/>
    </xf>
    <xf numFmtId="0" fontId="32" fillId="4" borderId="0" xfId="0" applyFont="1" applyFill="1" applyAlignment="1">
      <alignment horizontal="left"/>
    </xf>
    <xf numFmtId="3" fontId="24" fillId="9" borderId="11" xfId="0" applyNumberFormat="1" applyFont="1" applyFill="1" applyBorder="1" applyAlignment="1">
      <alignment wrapText="1"/>
    </xf>
    <xf numFmtId="0" fontId="34" fillId="10" borderId="0" xfId="0" applyFont="1" applyFill="1" applyAlignment="1">
      <alignment horizontal="left"/>
    </xf>
    <xf numFmtId="3" fontId="24" fillId="7" borderId="0" xfId="0" applyNumberFormat="1" applyFont="1" applyFill="1" applyAlignment="1">
      <alignment horizontal="center"/>
    </xf>
    <xf numFmtId="165" fontId="35" fillId="4" borderId="1" xfId="0" applyNumberFormat="1" applyFont="1" applyFill="1" applyBorder="1" applyAlignment="1">
      <alignment horizontal="center"/>
    </xf>
    <xf numFmtId="165" fontId="35" fillId="4" borderId="13" xfId="0" applyNumberFormat="1" applyFont="1" applyFill="1" applyBorder="1" applyAlignment="1">
      <alignment horizontal="center"/>
    </xf>
    <xf numFmtId="1" fontId="24" fillId="9" borderId="12" xfId="0" applyNumberFormat="1" applyFont="1" applyFill="1" applyBorder="1" applyAlignment="1">
      <alignment wrapText="1"/>
    </xf>
    <xf numFmtId="164" fontId="24" fillId="9" borderId="11" xfId="0" applyNumberFormat="1" applyFont="1" applyFill="1" applyBorder="1" applyAlignment="1">
      <alignment wrapText="1"/>
    </xf>
    <xf numFmtId="166" fontId="24" fillId="9" borderId="12" xfId="0" applyNumberFormat="1" applyFont="1" applyFill="1" applyBorder="1" applyAlignment="1">
      <alignment wrapText="1"/>
    </xf>
    <xf numFmtId="3" fontId="38" fillId="15" borderId="13" xfId="0" applyNumberFormat="1" applyFont="1" applyFill="1" applyBorder="1" applyAlignment="1">
      <alignment horizontal="center"/>
    </xf>
    <xf numFmtId="0" fontId="24" fillId="9" borderId="11" xfId="0" applyFont="1" applyFill="1" applyBorder="1" applyAlignment="1">
      <alignment wrapText="1"/>
    </xf>
    <xf numFmtId="164" fontId="35" fillId="7" borderId="0" xfId="0" applyNumberFormat="1" applyFont="1" applyFill="1" applyAlignment="1">
      <alignment horizontal="center"/>
    </xf>
    <xf numFmtId="164" fontId="35" fillId="4" borderId="13" xfId="0" applyNumberFormat="1" applyFont="1" applyFill="1" applyBorder="1" applyAlignment="1">
      <alignment horizontal="center"/>
    </xf>
    <xf numFmtId="0" fontId="26" fillId="10" borderId="0" xfId="0" applyFont="1" applyFill="1" applyAlignment="1">
      <alignment horizontal="left"/>
    </xf>
    <xf numFmtId="0" fontId="28" fillId="0" borderId="0" xfId="0" applyFont="1" applyAlignment="1">
      <alignment horizontal="left"/>
    </xf>
    <xf numFmtId="3" fontId="24" fillId="9" borderId="3" xfId="0" applyNumberFormat="1" applyFont="1" applyFill="1" applyBorder="1" applyAlignment="1">
      <alignment horizontal="center" wrapText="1"/>
    </xf>
    <xf numFmtId="3" fontId="24" fillId="9" borderId="10" xfId="0" applyNumberFormat="1" applyFont="1" applyFill="1" applyBorder="1" applyAlignment="1">
      <alignment horizontal="center" wrapText="1"/>
    </xf>
    <xf numFmtId="0" fontId="34" fillId="4" borderId="13" xfId="0" applyFont="1" applyFill="1" applyBorder="1" applyAlignment="1">
      <alignment horizontal="left"/>
    </xf>
    <xf numFmtId="3" fontId="35" fillId="4" borderId="14" xfId="0" applyNumberFormat="1" applyFont="1" applyFill="1" applyBorder="1" applyAlignment="1">
      <alignment horizontal="center"/>
    </xf>
    <xf numFmtId="164" fontId="29" fillId="7" borderId="0" xfId="0" applyNumberFormat="1" applyFont="1" applyFill="1" applyAlignment="1">
      <alignment horizontal="center"/>
    </xf>
    <xf numFmtId="3" fontId="29" fillId="7" borderId="0" xfId="0" applyNumberFormat="1" applyFont="1" applyFill="1" applyAlignment="1">
      <alignment horizontal="center"/>
    </xf>
    <xf numFmtId="164" fontId="24" fillId="7" borderId="0" xfId="0" applyNumberFormat="1" applyFont="1" applyFill="1" applyAlignment="1">
      <alignment horizontal="center"/>
    </xf>
    <xf numFmtId="164" fontId="29" fillId="7" borderId="13" xfId="0" applyNumberFormat="1" applyFont="1" applyFill="1" applyBorder="1" applyAlignment="1">
      <alignment horizontal="center"/>
    </xf>
    <xf numFmtId="3" fontId="29" fillId="7" borderId="13" xfId="0" applyNumberFormat="1" applyFont="1" applyFill="1" applyBorder="1" applyAlignment="1">
      <alignment horizontal="center"/>
    </xf>
    <xf numFmtId="164" fontId="24" fillId="7" borderId="13" xfId="0" applyNumberFormat="1" applyFont="1" applyFill="1" applyBorder="1" applyAlignment="1">
      <alignment horizontal="center"/>
    </xf>
    <xf numFmtId="3" fontId="24" fillId="7" borderId="12" xfId="0" applyNumberFormat="1" applyFont="1" applyFill="1" applyBorder="1" applyAlignment="1">
      <alignment horizontal="center" wrapText="1"/>
    </xf>
    <xf numFmtId="164" fontId="24" fillId="9" borderId="12" xfId="0" applyNumberFormat="1" applyFont="1" applyFill="1" applyBorder="1" applyAlignment="1">
      <alignment wrapText="1"/>
    </xf>
    <xf numFmtId="165" fontId="40" fillId="7" borderId="0" xfId="0" applyNumberFormat="1" applyFont="1" applyFill="1" applyAlignment="1">
      <alignment horizontal="center"/>
    </xf>
    <xf numFmtId="3" fontId="24" fillId="7" borderId="13" xfId="0" applyNumberFormat="1" applyFont="1" applyFill="1" applyBorder="1" applyAlignment="1">
      <alignment horizontal="center"/>
    </xf>
    <xf numFmtId="165" fontId="40" fillId="7" borderId="13" xfId="0" applyNumberFormat="1" applyFont="1" applyFill="1" applyBorder="1" applyAlignment="1">
      <alignment horizontal="center"/>
    </xf>
    <xf numFmtId="3" fontId="41" fillId="7" borderId="0" xfId="0" applyNumberFormat="1" applyFont="1" applyFill="1" applyAlignment="1">
      <alignment horizontal="center"/>
    </xf>
    <xf numFmtId="3" fontId="28" fillId="7" borderId="13" xfId="0" applyNumberFormat="1" applyFont="1" applyFill="1" applyBorder="1" applyAlignment="1">
      <alignment horizontal="center"/>
    </xf>
    <xf numFmtId="3" fontId="41" fillId="7" borderId="13" xfId="0" applyNumberFormat="1" applyFont="1" applyFill="1" applyBorder="1" applyAlignment="1">
      <alignment horizontal="center"/>
    </xf>
    <xf numFmtId="0" fontId="1" fillId="2" borderId="0" xfId="0" applyFont="1" applyFill="1" applyAlignment="1">
      <alignment horizontal="center"/>
    </xf>
    <xf numFmtId="0" fontId="2" fillId="0" borderId="0" xfId="0" applyFont="1" applyAlignment="1">
      <alignment horizontal="center"/>
    </xf>
    <xf numFmtId="0" fontId="3" fillId="3" borderId="0" xfId="0" applyFont="1" applyFill="1" applyAlignment="1">
      <alignment horizontal="center" wrapText="1"/>
    </xf>
    <xf numFmtId="0" fontId="2" fillId="0" borderId="0" xfId="0" applyFont="1" applyAlignment="1">
      <alignment horizontal="center" wrapText="1"/>
    </xf>
    <xf numFmtId="3" fontId="31" fillId="4" borderId="13" xfId="0" applyNumberFormat="1" applyFont="1" applyFill="1" applyBorder="1" applyAlignment="1">
      <alignment horizontal="center"/>
    </xf>
    <xf numFmtId="0" fontId="31" fillId="4" borderId="0" xfId="0" applyFont="1" applyFill="1" applyAlignment="1">
      <alignment horizontal="center"/>
    </xf>
    <xf numFmtId="0" fontId="16" fillId="11" borderId="0" xfId="0" applyFont="1" applyFill="1" applyAlignment="1">
      <alignment horizontal="left" wrapText="1"/>
    </xf>
    <xf numFmtId="0" fontId="19" fillId="0" borderId="0" xfId="0" applyFont="1" applyAlignment="1">
      <alignment horizontal="left" wrapText="1"/>
    </xf>
    <xf numFmtId="3" fontId="33" fillId="11" borderId="13" xfId="0" applyNumberFormat="1" applyFont="1" applyFill="1" applyBorder="1" applyAlignment="1">
      <alignment horizontal="center"/>
    </xf>
    <xf numFmtId="0" fontId="19" fillId="0" borderId="0" xfId="0" applyFont="1" applyAlignment="1">
      <alignment horizontal="center"/>
    </xf>
    <xf numFmtId="3" fontId="28" fillId="7" borderId="0" xfId="0" applyNumberFormat="1" applyFont="1" applyFill="1" applyAlignment="1">
      <alignment horizontal="center"/>
    </xf>
    <xf numFmtId="0" fontId="28" fillId="7" borderId="0" xfId="0" applyFont="1" applyFill="1" applyAlignment="1">
      <alignment horizontal="center"/>
    </xf>
    <xf numFmtId="0" fontId="25" fillId="0" borderId="0" xfId="0" applyFont="1" applyAlignment="1">
      <alignment wrapText="1"/>
    </xf>
    <xf numFmtId="0" fontId="2" fillId="0" borderId="0" xfId="0" applyFont="1" applyAlignment="1">
      <alignment wrapText="1"/>
    </xf>
    <xf numFmtId="0" fontId="7" fillId="2" borderId="0" xfId="0" applyFont="1" applyFill="1" applyAlignment="1">
      <alignment horizontal="left" indent="1"/>
    </xf>
    <xf numFmtId="0" fontId="19" fillId="0" borderId="0" xfId="0" applyFont="1" applyAlignment="1">
      <alignment horizontal="left" indent="1"/>
    </xf>
    <xf numFmtId="0" fontId="26" fillId="10" borderId="0" xfId="0" applyFont="1" applyFill="1" applyAlignment="1">
      <alignment horizontal="center"/>
    </xf>
    <xf numFmtId="3" fontId="22" fillId="4" borderId="5" xfId="0" applyNumberFormat="1" applyFont="1" applyFill="1" applyBorder="1" applyAlignment="1">
      <alignment horizontal="center"/>
    </xf>
    <xf numFmtId="0" fontId="19" fillId="0" borderId="6" xfId="0" applyFont="1" applyBorder="1" applyAlignment="1">
      <alignment horizontal="center"/>
    </xf>
    <xf numFmtId="0" fontId="23" fillId="4" borderId="8" xfId="0" applyFont="1" applyFill="1" applyBorder="1" applyAlignment="1">
      <alignment horizontal="center"/>
    </xf>
    <xf numFmtId="0" fontId="19" fillId="0" borderId="9" xfId="0" applyFont="1" applyBorder="1" applyAlignment="1">
      <alignment horizontal="center"/>
    </xf>
    <xf numFmtId="0" fontId="1" fillId="6" borderId="0" xfId="0" applyFont="1" applyFill="1" applyAlignment="1">
      <alignment horizontal="center"/>
    </xf>
    <xf numFmtId="0" fontId="3" fillId="8" borderId="0" xfId="0" applyFont="1" applyFill="1" applyAlignment="1">
      <alignment horizontal="center" wrapText="1"/>
    </xf>
    <xf numFmtId="0" fontId="2" fillId="0" borderId="0" xfId="0" applyFont="1" applyAlignment="1">
      <alignment horizontal="left" indent="1"/>
    </xf>
    <xf numFmtId="0" fontId="8" fillId="4" borderId="3" xfId="0" applyFont="1" applyFill="1" applyBorder="1" applyAlignment="1">
      <alignment horizontal="center"/>
    </xf>
    <xf numFmtId="0" fontId="19" fillId="0" borderId="2" xfId="0" applyFont="1" applyBorder="1" applyAlignment="1">
      <alignment horizontal="center"/>
    </xf>
    <xf numFmtId="164" fontId="9" fillId="4" borderId="5" xfId="0" applyNumberFormat="1" applyFont="1" applyFill="1" applyBorder="1" applyAlignment="1">
      <alignment horizontal="center"/>
    </xf>
    <xf numFmtId="164" fontId="19" fillId="0" borderId="0" xfId="0" applyNumberFormat="1" applyFont="1" applyAlignment="1">
      <alignment horizontal="center"/>
    </xf>
    <xf numFmtId="0" fontId="10" fillId="4" borderId="8" xfId="0" applyFont="1" applyFill="1" applyBorder="1" applyAlignment="1">
      <alignment horizontal="center"/>
    </xf>
    <xf numFmtId="0" fontId="19" fillId="0" borderId="7" xfId="0" applyFont="1" applyBorder="1" applyAlignment="1">
      <alignment horizontal="center"/>
    </xf>
    <xf numFmtId="0" fontId="20" fillId="4" borderId="3" xfId="0" applyFont="1" applyFill="1" applyBorder="1" applyAlignment="1">
      <alignment horizontal="center"/>
    </xf>
    <xf numFmtId="3" fontId="21" fillId="4" borderId="5" xfId="0" applyNumberFormat="1" applyFont="1" applyFill="1" applyBorder="1" applyAlignment="1">
      <alignment horizontal="center"/>
    </xf>
    <xf numFmtId="0" fontId="19" fillId="0" borderId="4" xfId="0" applyFont="1" applyBorder="1" applyAlignment="1">
      <alignment horizontal="center"/>
    </xf>
    <xf numFmtId="0" fontId="29" fillId="0" borderId="0" xfId="0" applyFont="1" applyAlignment="1">
      <alignment horizontal="left"/>
    </xf>
    <xf numFmtId="0" fontId="19" fillId="0" borderId="0" xfId="0" applyFont="1" applyAlignment="1">
      <alignment horizontal="left"/>
    </xf>
    <xf numFmtId="0" fontId="32" fillId="15" borderId="0" xfId="0" applyFont="1" applyFill="1" applyAlignment="1">
      <alignment horizontal="left"/>
    </xf>
    <xf numFmtId="3" fontId="37" fillId="14" borderId="13" xfId="0" applyNumberFormat="1" applyFont="1" applyFill="1" applyBorder="1" applyAlignment="1">
      <alignment horizontal="center"/>
    </xf>
    <xf numFmtId="0" fontId="19" fillId="0" borderId="13" xfId="0" applyFont="1" applyBorder="1" applyAlignment="1">
      <alignment horizontal="center"/>
    </xf>
    <xf numFmtId="0" fontId="23" fillId="14" borderId="0" xfId="0" applyFont="1" applyFill="1" applyAlignment="1">
      <alignment horizontal="left"/>
    </xf>
    <xf numFmtId="0" fontId="36" fillId="4" borderId="0" xfId="0" applyFont="1" applyFill="1" applyAlignment="1">
      <alignment horizontal="left"/>
    </xf>
    <xf numFmtId="0" fontId="34" fillId="10" borderId="0" xfId="0" applyFont="1" applyFill="1" applyAlignment="1">
      <alignment horizontal="left"/>
    </xf>
    <xf numFmtId="0" fontId="1" fillId="12" borderId="0" xfId="0" applyFont="1" applyFill="1" applyAlignment="1">
      <alignment horizontal="center"/>
    </xf>
    <xf numFmtId="0" fontId="3" fillId="13" borderId="0" xfId="0" applyFont="1" applyFill="1" applyAlignment="1">
      <alignment horizontal="center" wrapText="1"/>
    </xf>
    <xf numFmtId="0" fontId="14" fillId="7" borderId="0" xfId="0" applyFont="1" applyFill="1" applyAlignment="1">
      <alignment horizontal="left" wrapText="1"/>
    </xf>
    <xf numFmtId="0" fontId="2" fillId="0" borderId="0" xfId="0" applyFont="1" applyAlignment="1">
      <alignment horizontal="left" wrapText="1"/>
    </xf>
    <xf numFmtId="0" fontId="39" fillId="9" borderId="12" xfId="0" applyFont="1" applyFill="1" applyBorder="1" applyAlignment="1">
      <alignment wrapText="1"/>
    </xf>
    <xf numFmtId="0" fontId="19" fillId="0" borderId="0" xfId="0" applyFont="1" applyAlignment="1">
      <alignment wrapText="1"/>
    </xf>
    <xf numFmtId="0" fontId="39" fillId="9" borderId="11" xfId="0" applyFont="1" applyFill="1" applyBorder="1" applyAlignment="1">
      <alignment wrapText="1"/>
    </xf>
    <xf numFmtId="0" fontId="32" fillId="4" borderId="0" xfId="0" applyFont="1" applyFill="1" applyAlignment="1">
      <alignment horizontal="left"/>
    </xf>
    <xf numFmtId="0" fontId="2" fillId="0" borderId="0" xfId="0" applyFont="1" applyAlignment="1">
      <alignment horizontal="left"/>
    </xf>
    <xf numFmtId="0" fontId="17" fillId="10" borderId="0" xfId="0" applyFont="1" applyFill="1" applyAlignment="1">
      <alignment horizontal="left"/>
    </xf>
    <xf numFmtId="0" fontId="1" fillId="16" borderId="0" xfId="0" applyFont="1" applyFill="1" applyAlignment="1">
      <alignment horizontal="center"/>
    </xf>
    <xf numFmtId="0" fontId="3" fillId="17" borderId="0" xfId="0" applyFont="1" applyFill="1" applyAlignment="1">
      <alignment horizontal="center" wrapText="1"/>
    </xf>
  </cellXfs>
  <cellStyles count="1">
    <cellStyle name="Normal" xfId="0" builtinId="0"/>
  </cellStyles>
  <dxfs count="9">
    <dxf>
      <font>
        <color rgb="FFC0392B"/>
      </font>
      <fill>
        <patternFill>
          <bgColor rgb="FFDAD7F8"/>
        </patternFill>
      </fill>
    </dxf>
    <dxf>
      <font>
        <color rgb="FFC0392B"/>
      </font>
      <fill>
        <patternFill>
          <bgColor rgb="FFDAD7F8"/>
        </patternFill>
      </fill>
    </dxf>
    <dxf>
      <font>
        <color rgb="FF527D2E"/>
      </font>
      <fill>
        <patternFill>
          <bgColor rgb="FFDAEDD4"/>
        </patternFill>
      </fill>
    </dxf>
    <dxf>
      <font>
        <color rgb="FF527D2E"/>
      </font>
      <fill>
        <patternFill>
          <bgColor rgb="FFDAEDD4"/>
        </patternFill>
      </fill>
    </dxf>
    <dxf>
      <font>
        <color rgb="FF046485"/>
      </font>
      <fill>
        <patternFill>
          <bgColor rgb="FFCDF3FF"/>
        </patternFill>
      </fill>
    </dxf>
    <dxf>
      <font>
        <color rgb="FFC0392B"/>
      </font>
      <fill>
        <patternFill>
          <bgColor rgb="FFDAD7F8"/>
        </patternFill>
      </fill>
    </dxf>
    <dxf>
      <font>
        <color rgb="FF527D2E"/>
      </font>
      <fill>
        <patternFill>
          <bgColor rgb="FFDAEDD4"/>
        </patternFill>
      </fill>
    </dxf>
    <dxf>
      <font>
        <color rgb="FF046485"/>
      </font>
      <fill>
        <patternFill>
          <bgColor rgb="FFCDF3FF"/>
        </patternFill>
      </fill>
    </dxf>
    <dxf>
      <font>
        <color rgb="FFC0392B"/>
      </font>
      <fill>
        <patternFill>
          <bgColor rgb="FFDAD7F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vi-VN"/>
              <a:t>Cơ Cấu Danh Mục 3 Lớp: Thực Tế vs. Mục Tiêu</a:t>
            </a:r>
          </a:p>
        </c:rich>
      </c:tx>
      <c:overlay val="0"/>
    </c:title>
    <c:autoTitleDeleted val="0"/>
    <c:plotArea>
      <c:layout/>
      <c:barChart>
        <c:barDir val="col"/>
        <c:grouping val="clustered"/>
        <c:varyColors val="0"/>
        <c:ser>
          <c:idx val="0"/>
          <c:order val="0"/>
          <c:tx>
            <c:strRef>
              <c:f>'3.Phan Bo 3 Lop'!$B$27</c:f>
              <c:strCache>
                <c:ptCount val="1"/>
                <c:pt idx="0">
                  <c:v>% Thực Tế</c:v>
                </c:pt>
              </c:strCache>
            </c:strRef>
          </c:tx>
          <c:invertIfNegative val="0"/>
          <c:cat>
            <c:strRef>
              <c:f>'3.Phan Bo 3 Lop'!$A$28:$A$30</c:f>
              <c:strCache>
                <c:ptCount val="3"/>
                <c:pt idx="0">
                  <c:v>🛡️ Lớp Phòng Thủ (Core System)</c:v>
                </c:pt>
                <c:pt idx="1">
                  <c:v>📈 Lớp Tích Sản (Scaled Production)</c:v>
                </c:pt>
                <c:pt idx="2">
                  <c:v>🚀 Lớp Cơ Hội (Experimental Sandbox)</c:v>
                </c:pt>
              </c:strCache>
            </c:strRef>
          </c:cat>
          <c:val>
            <c:numRef>
              <c:f>'3.Phan Bo 3 Lop'!$B$28:$B$30</c:f>
              <c:numCache>
                <c:formatCode>0.0%</c:formatCode>
                <c:ptCount val="3"/>
                <c:pt idx="0">
                  <c:v>0.12077294685990338</c:v>
                </c:pt>
                <c:pt idx="1">
                  <c:v>0.79710144927536231</c:v>
                </c:pt>
                <c:pt idx="2">
                  <c:v>8.2125603864734303E-2</c:v>
                </c:pt>
              </c:numCache>
            </c:numRef>
          </c:val>
          <c:extLst>
            <c:ext xmlns:c16="http://schemas.microsoft.com/office/drawing/2014/chart" uri="{C3380CC4-5D6E-409C-BE32-E72D297353CC}">
              <c16:uniqueId val="{00000002-668D-444F-A513-67B72E793F12}"/>
            </c:ext>
          </c:extLst>
        </c:ser>
        <c:ser>
          <c:idx val="1"/>
          <c:order val="1"/>
          <c:tx>
            <c:strRef>
              <c:f>'3.Phan Bo 3 Lop'!$C$27</c:f>
              <c:strCache>
                <c:ptCount val="1"/>
                <c:pt idx="0">
                  <c:v>% Đề Xuất</c:v>
                </c:pt>
              </c:strCache>
            </c:strRef>
          </c:tx>
          <c:invertIfNegative val="0"/>
          <c:cat>
            <c:strRef>
              <c:f>'3.Phan Bo 3 Lop'!$A$28:$A$30</c:f>
              <c:strCache>
                <c:ptCount val="3"/>
                <c:pt idx="0">
                  <c:v>🛡️ Lớp Phòng Thủ (Core System)</c:v>
                </c:pt>
                <c:pt idx="1">
                  <c:v>📈 Lớp Tích Sản (Scaled Production)</c:v>
                </c:pt>
                <c:pt idx="2">
                  <c:v>🚀 Lớp Cơ Hội (Experimental Sandbox)</c:v>
                </c:pt>
              </c:strCache>
            </c:strRef>
          </c:cat>
          <c:val>
            <c:numRef>
              <c:f>'3.Phan Bo 3 Lop'!$C$28:$C$30</c:f>
              <c:numCache>
                <c:formatCode>0.0%</c:formatCode>
                <c:ptCount val="3"/>
                <c:pt idx="0">
                  <c:v>0.2</c:v>
                </c:pt>
                <c:pt idx="1">
                  <c:v>0.75</c:v>
                </c:pt>
                <c:pt idx="2">
                  <c:v>0.05</c:v>
                </c:pt>
              </c:numCache>
            </c:numRef>
          </c:val>
          <c:extLst>
            <c:ext xmlns:c16="http://schemas.microsoft.com/office/drawing/2014/chart" uri="{C3380CC4-5D6E-409C-BE32-E72D297353CC}">
              <c16:uniqueId val="{00000003-668D-444F-A513-67B72E793F12}"/>
            </c:ext>
          </c:extLst>
        </c:ser>
        <c:dLbls>
          <c:showLegendKey val="0"/>
          <c:showVal val="0"/>
          <c:showCatName val="0"/>
          <c:showSerName val="0"/>
          <c:showPercent val="0"/>
          <c:showBubbleSize val="0"/>
        </c:dLbls>
        <c:gapWidth val="150"/>
        <c:axId val="1516040079"/>
        <c:axId val="1516048719"/>
      </c:barChart>
      <c:catAx>
        <c:axId val="1516040079"/>
        <c:scaling>
          <c:orientation val="minMax"/>
        </c:scaling>
        <c:delete val="0"/>
        <c:axPos val="b"/>
        <c:numFmt formatCode="General" sourceLinked="1"/>
        <c:majorTickMark val="out"/>
        <c:minorTickMark val="none"/>
        <c:tickLblPos val="nextTo"/>
        <c:crossAx val="1516048719"/>
        <c:crosses val="autoZero"/>
        <c:auto val="1"/>
        <c:lblAlgn val="ctr"/>
        <c:lblOffset val="100"/>
        <c:noMultiLvlLbl val="0"/>
      </c:catAx>
      <c:valAx>
        <c:axId val="1516048719"/>
        <c:scaling>
          <c:orientation val="minMax"/>
        </c:scaling>
        <c:delete val="0"/>
        <c:axPos val="l"/>
        <c:majorGridlines/>
        <c:numFmt formatCode="0.0%" sourceLinked="1"/>
        <c:majorTickMark val="out"/>
        <c:minorTickMark val="none"/>
        <c:tickLblPos val="nextTo"/>
        <c:crossAx val="1516040079"/>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25</xdr:row>
      <xdr:rowOff>0</xdr:rowOff>
    </xdr:from>
    <xdr:to>
      <xdr:col>7</xdr:col>
      <xdr:colOff>454025</xdr:colOff>
      <xdr:row>33</xdr:row>
      <xdr:rowOff>149225</xdr:rowOff>
    </xdr:to>
    <xdr:graphicFrame macro="">
      <xdr:nvGraphicFramePr>
        <xdr:cNvPr id="2" name="Chart 1">
          <a:extLst>
            <a:ext uri="{FF2B5EF4-FFF2-40B4-BE49-F238E27FC236}">
              <a16:creationId xmlns:a16="http://schemas.microsoft.com/office/drawing/2014/main" id="{1164E8A2-E81D-F4E3-15D5-4977403BC3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5673A-6344-49F9-92E3-8D682227E03E}">
  <sheetPr>
    <tabColor rgb="FF002454"/>
  </sheetPr>
  <dimension ref="A1:H21"/>
  <sheetViews>
    <sheetView showGridLines="0" tabSelected="1" topLeftCell="A12" workbookViewId="0">
      <selection activeCell="A21" sqref="A21"/>
    </sheetView>
  </sheetViews>
  <sheetFormatPr defaultRowHeight="16.5" x14ac:dyDescent="0.6"/>
  <cols>
    <col min="1" max="1" width="164.53125" style="1" bestFit="1" customWidth="1"/>
    <col min="2" max="16384" width="9.06640625" style="1"/>
  </cols>
  <sheetData>
    <row r="1" spans="1:8" ht="44" customHeight="1" x14ac:dyDescent="0.85">
      <c r="A1" s="62" t="s">
        <v>0</v>
      </c>
      <c r="B1" s="63"/>
      <c r="C1" s="63"/>
      <c r="D1" s="63"/>
      <c r="E1" s="63"/>
      <c r="F1" s="63"/>
      <c r="G1" s="63"/>
      <c r="H1" s="63"/>
    </row>
    <row r="2" spans="1:8" x14ac:dyDescent="0.6">
      <c r="A2" s="64" t="s">
        <v>1</v>
      </c>
      <c r="B2" s="65"/>
      <c r="C2" s="65"/>
      <c r="D2" s="65"/>
      <c r="E2" s="65"/>
      <c r="F2" s="65"/>
      <c r="G2" s="65"/>
      <c r="H2" s="65"/>
    </row>
    <row r="3" spans="1:8" ht="10.050000000000001" customHeight="1" x14ac:dyDescent="0.6"/>
    <row r="4" spans="1:8" ht="28.05" customHeight="1" x14ac:dyDescent="0.65">
      <c r="A4" s="2" t="s">
        <v>2</v>
      </c>
    </row>
    <row r="5" spans="1:8" ht="46.05" customHeight="1" x14ac:dyDescent="0.6">
      <c r="A5" s="3" t="s">
        <v>3</v>
      </c>
    </row>
    <row r="7" spans="1:8" ht="28.05" customHeight="1" x14ac:dyDescent="0.65">
      <c r="A7" s="2" t="s">
        <v>4</v>
      </c>
    </row>
    <row r="8" spans="1:8" ht="38" customHeight="1" x14ac:dyDescent="0.6">
      <c r="A8" s="3" t="s">
        <v>5</v>
      </c>
    </row>
    <row r="9" spans="1:8" ht="38" customHeight="1" x14ac:dyDescent="0.6">
      <c r="A9" s="4" t="s">
        <v>6</v>
      </c>
    </row>
    <row r="10" spans="1:8" ht="38" customHeight="1" x14ac:dyDescent="0.6">
      <c r="A10" s="3" t="s">
        <v>7</v>
      </c>
    </row>
    <row r="11" spans="1:8" ht="38" customHeight="1" x14ac:dyDescent="0.6">
      <c r="A11" s="4" t="s">
        <v>8</v>
      </c>
    </row>
    <row r="13" spans="1:8" ht="28.05" customHeight="1" x14ac:dyDescent="0.65">
      <c r="A13" s="5" t="s">
        <v>9</v>
      </c>
    </row>
    <row r="14" spans="1:8" ht="28.05" customHeight="1" x14ac:dyDescent="0.6">
      <c r="A14" s="6" t="s">
        <v>10</v>
      </c>
    </row>
    <row r="15" spans="1:8" ht="28.05" customHeight="1" x14ac:dyDescent="0.6">
      <c r="A15" s="6" t="s">
        <v>11</v>
      </c>
    </row>
    <row r="16" spans="1:8" ht="28.05" customHeight="1" x14ac:dyDescent="0.6">
      <c r="A16" s="6" t="s">
        <v>12</v>
      </c>
    </row>
    <row r="17" spans="1:1" ht="28.05" customHeight="1" x14ac:dyDescent="0.6">
      <c r="A17" s="6" t="s">
        <v>13</v>
      </c>
    </row>
    <row r="19" spans="1:1" ht="28.05" customHeight="1" x14ac:dyDescent="0.7">
      <c r="A19" s="7" t="s">
        <v>14</v>
      </c>
    </row>
    <row r="20" spans="1:1" ht="24" customHeight="1" x14ac:dyDescent="0.6">
      <c r="A20" s="3" t="s">
        <v>15</v>
      </c>
    </row>
    <row r="21" spans="1:1" ht="24" customHeight="1" x14ac:dyDescent="0.6">
      <c r="A21" s="4" t="s">
        <v>16</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0267-AAAC-4C7C-8F47-E4CF9FC93F73}">
  <sheetPr>
    <tabColor rgb="FFC9973A"/>
  </sheetPr>
  <dimension ref="A1:H30"/>
  <sheetViews>
    <sheetView workbookViewId="0">
      <selection sqref="A1:H1"/>
    </sheetView>
  </sheetViews>
  <sheetFormatPr defaultRowHeight="16.5" x14ac:dyDescent="0.6"/>
  <cols>
    <col min="1" max="1" width="38.73046875" style="1" bestFit="1" customWidth="1"/>
    <col min="2" max="2" width="31.9296875" style="1" bestFit="1" customWidth="1"/>
    <col min="3" max="3" width="18.796875" style="1" bestFit="1" customWidth="1"/>
    <col min="4" max="4" width="20.59765625" style="1" customWidth="1"/>
    <col min="5" max="5" width="12.59765625" style="1" customWidth="1"/>
    <col min="6" max="6" width="39.265625" style="1" bestFit="1" customWidth="1"/>
    <col min="7" max="16384" width="9.06640625" style="1"/>
  </cols>
  <sheetData>
    <row r="1" spans="1:8" ht="44" customHeight="1" x14ac:dyDescent="0.85">
      <c r="A1" s="83" t="s">
        <v>17</v>
      </c>
      <c r="B1" s="63"/>
      <c r="C1" s="63"/>
      <c r="D1" s="63"/>
      <c r="E1" s="63"/>
      <c r="F1" s="63"/>
      <c r="G1" s="63"/>
      <c r="H1" s="63"/>
    </row>
    <row r="2" spans="1:8" x14ac:dyDescent="0.6">
      <c r="A2" s="84" t="s">
        <v>18</v>
      </c>
      <c r="B2" s="65"/>
      <c r="C2" s="65"/>
      <c r="D2" s="65"/>
      <c r="E2" s="65"/>
      <c r="F2" s="65"/>
      <c r="G2" s="65"/>
      <c r="H2" s="65"/>
    </row>
    <row r="3" spans="1:8" ht="10.050000000000001" customHeight="1" x14ac:dyDescent="0.6"/>
    <row r="4" spans="1:8" ht="28.05" customHeight="1" x14ac:dyDescent="0.6">
      <c r="A4" s="76" t="s">
        <v>19</v>
      </c>
      <c r="B4" s="85"/>
      <c r="C4" s="85"/>
      <c r="D4" s="85"/>
      <c r="E4" s="85"/>
      <c r="F4" s="85"/>
    </row>
    <row r="5" spans="1:8" ht="20" customHeight="1" x14ac:dyDescent="0.6">
      <c r="A5" s="86" t="s">
        <v>20</v>
      </c>
      <c r="B5" s="87"/>
      <c r="C5" s="92" t="s">
        <v>22</v>
      </c>
      <c r="D5" s="87"/>
      <c r="E5" s="92" t="s">
        <v>24</v>
      </c>
      <c r="F5" s="94"/>
    </row>
    <row r="6" spans="1:8" ht="28.05" customHeight="1" x14ac:dyDescent="0.75">
      <c r="A6" s="88">
        <f>IF(B26&gt;0,(B26-C26)/B26,0)</f>
        <v>0.89696032972694484</v>
      </c>
      <c r="B6" s="89"/>
      <c r="C6" s="93">
        <f>D28</f>
        <v>208920000</v>
      </c>
      <c r="D6" s="71"/>
      <c r="E6" s="79">
        <f>'4.Lo Trinh FIRE'!D30</f>
        <v>17222935911.393997</v>
      </c>
      <c r="F6" s="80"/>
    </row>
    <row r="7" spans="1:8" ht="20" customHeight="1" x14ac:dyDescent="0.6">
      <c r="A7" s="90" t="s">
        <v>21</v>
      </c>
      <c r="B7" s="91"/>
      <c r="C7" s="81" t="s">
        <v>23</v>
      </c>
      <c r="D7" s="91"/>
      <c r="E7" s="81" t="s">
        <v>25</v>
      </c>
      <c r="F7" s="82"/>
    </row>
    <row r="8" spans="1:8" ht="10.050000000000001" customHeight="1" x14ac:dyDescent="0.6">
      <c r="B8" s="19"/>
      <c r="C8" s="19"/>
      <c r="D8" s="19"/>
      <c r="E8" s="19"/>
      <c r="F8" s="19"/>
    </row>
    <row r="9" spans="1:8" ht="28.05" customHeight="1" x14ac:dyDescent="0.6">
      <c r="A9" s="76" t="s">
        <v>26</v>
      </c>
      <c r="B9" s="77"/>
      <c r="C9" s="77"/>
      <c r="D9" s="77"/>
      <c r="E9" s="77"/>
      <c r="F9" s="77"/>
    </row>
    <row r="10" spans="1:8" ht="24" customHeight="1" x14ac:dyDescent="0.6">
      <c r="A10" s="8" t="s">
        <v>27</v>
      </c>
      <c r="B10" s="20">
        <v>100000000</v>
      </c>
      <c r="C10" s="19"/>
      <c r="D10" s="19"/>
      <c r="E10" s="19"/>
      <c r="F10" s="74" t="s">
        <v>28</v>
      </c>
      <c r="G10" s="75"/>
      <c r="H10" s="75"/>
    </row>
    <row r="11" spans="1:8" ht="24" customHeight="1" x14ac:dyDescent="0.6">
      <c r="A11" s="8" t="s">
        <v>29</v>
      </c>
      <c r="B11" s="22">
        <v>1</v>
      </c>
      <c r="C11" s="19"/>
      <c r="D11" s="19"/>
      <c r="E11" s="19"/>
      <c r="F11" s="74" t="s">
        <v>30</v>
      </c>
      <c r="G11" s="75"/>
      <c r="H11" s="75"/>
    </row>
    <row r="12" spans="1:8" ht="24" customHeight="1" x14ac:dyDescent="0.6">
      <c r="A12" s="8" t="s">
        <v>31</v>
      </c>
      <c r="B12" s="20">
        <v>0</v>
      </c>
      <c r="C12" s="19"/>
      <c r="D12" s="19"/>
      <c r="E12" s="19"/>
      <c r="F12" s="74" t="s">
        <v>32</v>
      </c>
      <c r="G12" s="75"/>
      <c r="H12" s="75"/>
    </row>
    <row r="13" spans="1:8" ht="24" customHeight="1" x14ac:dyDescent="0.6">
      <c r="A13" s="8" t="s">
        <v>33</v>
      </c>
      <c r="B13" s="20">
        <v>1000000</v>
      </c>
      <c r="C13" s="19"/>
      <c r="D13" s="19"/>
      <c r="E13" s="19"/>
      <c r="F13" s="74" t="s">
        <v>34</v>
      </c>
      <c r="G13" s="75"/>
      <c r="H13" s="75"/>
    </row>
    <row r="14" spans="1:8" ht="24" customHeight="1" x14ac:dyDescent="0.6">
      <c r="A14" s="8" t="s">
        <v>35</v>
      </c>
      <c r="B14" s="22" t="s">
        <v>37</v>
      </c>
      <c r="C14" s="19"/>
      <c r="D14" s="19"/>
      <c r="E14" s="19"/>
      <c r="F14" s="74" t="s">
        <v>36</v>
      </c>
      <c r="G14" s="75"/>
      <c r="H14" s="75"/>
    </row>
    <row r="15" spans="1:8" ht="24" customHeight="1" x14ac:dyDescent="0.6">
      <c r="A15" s="8" t="s">
        <v>38</v>
      </c>
      <c r="B15" s="23">
        <f>IF(LEFT(B14,1)="1",0.02,IF(LEFT(B14,1)="2",0.07,0.015))</f>
        <v>0.02</v>
      </c>
      <c r="C15" s="19"/>
      <c r="D15" s="19"/>
      <c r="E15" s="19"/>
      <c r="F15" s="74" t="s">
        <v>39</v>
      </c>
      <c r="G15" s="75"/>
      <c r="H15" s="75"/>
    </row>
    <row r="16" spans="1:8" x14ac:dyDescent="0.6">
      <c r="B16" s="19"/>
      <c r="C16" s="19"/>
      <c r="D16" s="19"/>
      <c r="E16" s="19"/>
      <c r="F16" s="19"/>
    </row>
    <row r="17" spans="1:6" ht="28.05" customHeight="1" x14ac:dyDescent="0.6">
      <c r="A17" s="76" t="s">
        <v>40</v>
      </c>
      <c r="B17" s="77"/>
      <c r="C17" s="77"/>
      <c r="D17" s="77"/>
      <c r="E17" s="77"/>
      <c r="F17" s="77"/>
    </row>
    <row r="18" spans="1:6" ht="24" customHeight="1" x14ac:dyDescent="0.6">
      <c r="A18" s="9" t="s">
        <v>41</v>
      </c>
      <c r="B18" s="24" t="s">
        <v>42</v>
      </c>
      <c r="C18" s="24" t="s">
        <v>43</v>
      </c>
      <c r="D18" s="78" t="s">
        <v>44</v>
      </c>
      <c r="E18" s="78"/>
      <c r="F18" s="25" t="s">
        <v>45</v>
      </c>
    </row>
    <row r="19" spans="1:6" ht="20" customHeight="1" x14ac:dyDescent="0.6">
      <c r="A19" s="10" t="s">
        <v>46</v>
      </c>
      <c r="B19" s="26">
        <f>B10</f>
        <v>100000000</v>
      </c>
      <c r="C19" s="26">
        <f>B10</f>
        <v>100000000</v>
      </c>
      <c r="D19" s="72">
        <f t="shared" ref="D19:D26" si="0">B19-C19</f>
        <v>0</v>
      </c>
      <c r="E19" s="73"/>
      <c r="F19" s="27" t="s">
        <v>47</v>
      </c>
    </row>
    <row r="20" spans="1:6" ht="20" customHeight="1" x14ac:dyDescent="0.6">
      <c r="A20" s="11" t="s">
        <v>48</v>
      </c>
      <c r="B20" s="26">
        <v>11000000</v>
      </c>
      <c r="C20" s="26">
        <v>0</v>
      </c>
      <c r="D20" s="72">
        <f t="shared" si="0"/>
        <v>11000000</v>
      </c>
      <c r="E20" s="73"/>
      <c r="F20" s="27" t="s">
        <v>49</v>
      </c>
    </row>
    <row r="21" spans="1:6" ht="20" customHeight="1" x14ac:dyDescent="0.6">
      <c r="A21" s="11" t="s">
        <v>50</v>
      </c>
      <c r="B21" s="26">
        <f>B11*4400000</f>
        <v>4400000</v>
      </c>
      <c r="C21" s="26">
        <v>0</v>
      </c>
      <c r="D21" s="72">
        <f t="shared" si="0"/>
        <v>4400000</v>
      </c>
      <c r="E21" s="73"/>
      <c r="F21" s="27" t="s">
        <v>51</v>
      </c>
    </row>
    <row r="22" spans="1:6" ht="20" customHeight="1" x14ac:dyDescent="0.6">
      <c r="A22" s="11" t="s">
        <v>52</v>
      </c>
      <c r="B22" s="26">
        <f>B12</f>
        <v>0</v>
      </c>
      <c r="C22" s="26">
        <v>0</v>
      </c>
      <c r="D22" s="72">
        <f t="shared" si="0"/>
        <v>0</v>
      </c>
      <c r="E22" s="73"/>
      <c r="F22" s="27" t="s">
        <v>53</v>
      </c>
    </row>
    <row r="23" spans="1:6" ht="20" customHeight="1" x14ac:dyDescent="0.6">
      <c r="A23" s="11" t="s">
        <v>54</v>
      </c>
      <c r="B23" s="26">
        <f>MIN(1000000,B13)</f>
        <v>1000000</v>
      </c>
      <c r="C23" s="26">
        <v>0</v>
      </c>
      <c r="D23" s="72">
        <f t="shared" si="0"/>
        <v>1000000</v>
      </c>
      <c r="E23" s="73"/>
      <c r="F23" s="27" t="s">
        <v>55</v>
      </c>
    </row>
    <row r="24" spans="1:6" ht="20" customHeight="1" x14ac:dyDescent="0.6">
      <c r="A24" s="10" t="s">
        <v>56</v>
      </c>
      <c r="B24" s="26">
        <f>SUM(B20:B23)</f>
        <v>16400000</v>
      </c>
      <c r="C24" s="26">
        <f>SUM(C20:C23)</f>
        <v>0</v>
      </c>
      <c r="D24" s="72">
        <f t="shared" si="0"/>
        <v>16400000</v>
      </c>
      <c r="E24" s="73"/>
      <c r="F24" s="27" t="s">
        <v>57</v>
      </c>
    </row>
    <row r="25" spans="1:6" ht="20" customHeight="1" x14ac:dyDescent="0.6">
      <c r="A25" s="10" t="s">
        <v>58</v>
      </c>
      <c r="B25" s="26">
        <f>MAX(0,B19-B24)</f>
        <v>83600000</v>
      </c>
      <c r="C25" s="26">
        <f>B19</f>
        <v>100000000</v>
      </c>
      <c r="D25" s="72">
        <f t="shared" si="0"/>
        <v>-16400000</v>
      </c>
      <c r="E25" s="73"/>
      <c r="F25" s="27" t="s">
        <v>59</v>
      </c>
    </row>
    <row r="26" spans="1:6" ht="26" customHeight="1" thickBot="1" x14ac:dyDescent="0.65">
      <c r="A26" s="12" t="s">
        <v>60</v>
      </c>
      <c r="B26" s="28">
        <f>IF(B25&lt;=5000000,B25*0.05,IF(B25&lt;=10000000,B25*0.1-250000,IF(B25&lt;=18000000,B25*0.15-750000,IF(B25&lt;=32000000,B25*0.2-1650000,IF(B25&lt;=52000000,B25*0.25-3250000,IF(B25&lt;=80000000,B25*0.3-5850000,B25*0.35-9850000))))))</f>
        <v>19410000</v>
      </c>
      <c r="C26" s="28">
        <f>C19*B15</f>
        <v>2000000</v>
      </c>
      <c r="D26" s="66">
        <f t="shared" si="0"/>
        <v>17410000</v>
      </c>
      <c r="E26" s="67"/>
      <c r="F26" s="29" t="s">
        <v>61</v>
      </c>
    </row>
    <row r="27" spans="1:6" ht="16.899999999999999" thickTop="1" x14ac:dyDescent="0.6">
      <c r="B27" s="19"/>
      <c r="C27" s="19"/>
      <c r="D27" s="19"/>
      <c r="E27" s="19"/>
      <c r="F27" s="19"/>
    </row>
    <row r="28" spans="1:6" ht="32" customHeight="1" thickBot="1" x14ac:dyDescent="0.65">
      <c r="A28" s="68" t="s">
        <v>62</v>
      </c>
      <c r="B28" s="69"/>
      <c r="C28" s="69"/>
      <c r="D28" s="70">
        <f>D26*12</f>
        <v>208920000</v>
      </c>
      <c r="E28" s="71"/>
      <c r="F28" s="71"/>
    </row>
    <row r="29" spans="1:6" ht="16.899999999999999" thickTop="1" x14ac:dyDescent="0.6">
      <c r="B29" s="19"/>
      <c r="C29" s="19"/>
      <c r="D29" s="19"/>
      <c r="E29" s="19"/>
      <c r="F29" s="19"/>
    </row>
    <row r="30" spans="1:6" x14ac:dyDescent="0.6">
      <c r="B30" s="19"/>
      <c r="C30" s="19"/>
      <c r="D30" s="19"/>
      <c r="E30" s="19"/>
      <c r="F30" s="19"/>
    </row>
  </sheetData>
  <mergeCells count="31">
    <mergeCell ref="A1:H1"/>
    <mergeCell ref="A2:H2"/>
    <mergeCell ref="A4:F4"/>
    <mergeCell ref="A5:B5"/>
    <mergeCell ref="A6:B6"/>
    <mergeCell ref="C5:D5"/>
    <mergeCell ref="C6:D6"/>
    <mergeCell ref="E5:F5"/>
    <mergeCell ref="D19:E19"/>
    <mergeCell ref="E6:F6"/>
    <mergeCell ref="E7:F7"/>
    <mergeCell ref="A9:F9"/>
    <mergeCell ref="F10:H10"/>
    <mergeCell ref="F11:H11"/>
    <mergeCell ref="F12:H12"/>
    <mergeCell ref="A7:B7"/>
    <mergeCell ref="C7:D7"/>
    <mergeCell ref="F13:H13"/>
    <mergeCell ref="F14:H14"/>
    <mergeCell ref="F15:H15"/>
    <mergeCell ref="A17:F17"/>
    <mergeCell ref="D18:E18"/>
    <mergeCell ref="D26:E26"/>
    <mergeCell ref="A28:C28"/>
    <mergeCell ref="D28:F28"/>
    <mergeCell ref="D20:E20"/>
    <mergeCell ref="D21:E21"/>
    <mergeCell ref="D22:E22"/>
    <mergeCell ref="D23:E23"/>
    <mergeCell ref="D24:E24"/>
    <mergeCell ref="D25:E25"/>
  </mergeCells>
  <dataValidations count="1">
    <dataValidation type="list" allowBlank="1" showInputMessage="1" showErrorMessage="1" sqref="B14" xr:uid="{EFBA0516-FB25-4F26-94D7-5265C2E4CE77}">
      <formula1>"1. Software Export (Thuế 2% - TT40),2. YouTube AdSense / Consulting (Thuế 7% - TT40),3. E-commerce / Dropshipping / Affiliate (Thuế 1.5% - TT40)"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4B7AF-E5BD-4133-AB4E-23EF3887BC07}">
  <sheetPr>
    <tabColor rgb="FFC0392B"/>
  </sheetPr>
  <dimension ref="A1:H38"/>
  <sheetViews>
    <sheetView workbookViewId="0">
      <selection sqref="A1:H1"/>
    </sheetView>
  </sheetViews>
  <sheetFormatPr defaultRowHeight="16.5" x14ac:dyDescent="0.6"/>
  <cols>
    <col min="1" max="1" width="45.6640625" style="1" bestFit="1" customWidth="1"/>
    <col min="2" max="2" width="11.73046875" style="1" bestFit="1" customWidth="1"/>
    <col min="3" max="4" width="18.59765625" style="1" customWidth="1"/>
    <col min="5" max="5" width="12.59765625" style="1" customWidth="1"/>
    <col min="6" max="6" width="38.59765625" style="1" customWidth="1"/>
    <col min="7" max="16384" width="9.06640625" style="1"/>
  </cols>
  <sheetData>
    <row r="1" spans="1:8" ht="44" customHeight="1" x14ac:dyDescent="0.85">
      <c r="A1" s="103" t="s">
        <v>63</v>
      </c>
      <c r="B1" s="63"/>
      <c r="C1" s="63"/>
      <c r="D1" s="63"/>
      <c r="E1" s="63"/>
      <c r="F1" s="63"/>
      <c r="G1" s="63"/>
      <c r="H1" s="63"/>
    </row>
    <row r="2" spans="1:8" x14ac:dyDescent="0.6">
      <c r="A2" s="104" t="s">
        <v>64</v>
      </c>
      <c r="B2" s="65"/>
      <c r="C2" s="65"/>
      <c r="D2" s="65"/>
      <c r="E2" s="65"/>
      <c r="F2" s="65"/>
      <c r="G2" s="65"/>
      <c r="H2" s="65"/>
    </row>
    <row r="3" spans="1:8" ht="10.050000000000001" customHeight="1" x14ac:dyDescent="0.6"/>
    <row r="4" spans="1:8" ht="28.05" customHeight="1" x14ac:dyDescent="0.6">
      <c r="A4" s="76" t="s">
        <v>65</v>
      </c>
      <c r="B4" s="85"/>
      <c r="C4" s="85"/>
      <c r="D4" s="85"/>
      <c r="E4" s="85"/>
      <c r="F4" s="85"/>
    </row>
    <row r="5" spans="1:8" ht="24" customHeight="1" x14ac:dyDescent="0.6">
      <c r="A5" s="8" t="s">
        <v>66</v>
      </c>
      <c r="B5" s="20">
        <v>150000000</v>
      </c>
      <c r="C5" s="19"/>
      <c r="D5" s="19"/>
      <c r="E5" s="19"/>
      <c r="F5" s="74" t="s">
        <v>67</v>
      </c>
      <c r="G5" s="75"/>
      <c r="H5" s="75"/>
    </row>
    <row r="6" spans="1:8" ht="24" customHeight="1" x14ac:dyDescent="0.6">
      <c r="A6" s="8" t="s">
        <v>68</v>
      </c>
      <c r="B6" s="20">
        <v>100000000</v>
      </c>
      <c r="C6" s="19"/>
      <c r="D6" s="19"/>
      <c r="E6" s="19"/>
      <c r="F6" s="74" t="s">
        <v>69</v>
      </c>
      <c r="G6" s="75"/>
      <c r="H6" s="75"/>
    </row>
    <row r="7" spans="1:8" ht="24" customHeight="1" x14ac:dyDescent="0.6">
      <c r="A7" s="8" t="s">
        <v>70</v>
      </c>
      <c r="B7" s="20">
        <v>20000000</v>
      </c>
      <c r="C7" s="19"/>
      <c r="D7" s="19"/>
      <c r="E7" s="19"/>
      <c r="F7" s="74" t="s">
        <v>71</v>
      </c>
      <c r="G7" s="75"/>
      <c r="H7" s="75"/>
    </row>
    <row r="8" spans="1:8" ht="24" customHeight="1" x14ac:dyDescent="0.6">
      <c r="A8" s="8" t="s">
        <v>72</v>
      </c>
      <c r="B8" s="20">
        <v>8000000</v>
      </c>
      <c r="C8" s="19"/>
      <c r="D8" s="19"/>
      <c r="E8" s="19"/>
      <c r="F8" s="74" t="s">
        <v>73</v>
      </c>
      <c r="G8" s="75"/>
      <c r="H8" s="75"/>
    </row>
    <row r="9" spans="1:8" ht="24" customHeight="1" x14ac:dyDescent="0.6">
      <c r="A9" s="8" t="s">
        <v>74</v>
      </c>
      <c r="B9" s="30">
        <v>12000000</v>
      </c>
      <c r="C9" s="19"/>
      <c r="D9" s="19"/>
      <c r="E9" s="19"/>
      <c r="F9" s="74" t="s">
        <v>75</v>
      </c>
      <c r="G9" s="75"/>
      <c r="H9" s="75"/>
    </row>
    <row r="10" spans="1:8" x14ac:dyDescent="0.6">
      <c r="B10" s="19"/>
      <c r="C10" s="19"/>
      <c r="D10" s="19"/>
      <c r="E10" s="19"/>
      <c r="F10" s="19"/>
    </row>
    <row r="11" spans="1:8" ht="28.05" customHeight="1" x14ac:dyDescent="0.6">
      <c r="A11" s="76" t="s">
        <v>76</v>
      </c>
      <c r="B11" s="77"/>
      <c r="C11" s="77"/>
      <c r="D11" s="77"/>
      <c r="E11" s="77"/>
      <c r="F11" s="77"/>
    </row>
    <row r="12" spans="1:8" ht="22.05" customHeight="1" x14ac:dyDescent="0.6">
      <c r="A12" s="9" t="s">
        <v>77</v>
      </c>
      <c r="B12" s="24" t="s">
        <v>78</v>
      </c>
      <c r="C12" s="102" t="s">
        <v>79</v>
      </c>
      <c r="D12" s="96"/>
      <c r="E12" s="96"/>
      <c r="F12" s="96"/>
    </row>
    <row r="13" spans="1:8" ht="20" customHeight="1" x14ac:dyDescent="0.6">
      <c r="A13" s="11" t="s">
        <v>80</v>
      </c>
      <c r="B13" s="32">
        <f>B5+B6</f>
        <v>250000000</v>
      </c>
      <c r="C13" s="95" t="s">
        <v>81</v>
      </c>
      <c r="D13" s="96"/>
      <c r="E13" s="96"/>
      <c r="F13" s="96"/>
    </row>
    <row r="14" spans="1:8" ht="20" customHeight="1" x14ac:dyDescent="0.6">
      <c r="A14" s="11" t="s">
        <v>82</v>
      </c>
      <c r="B14" s="32">
        <f>B7+B8+B9</f>
        <v>40000000</v>
      </c>
      <c r="C14" s="95" t="s">
        <v>83</v>
      </c>
      <c r="D14" s="96"/>
      <c r="E14" s="96"/>
      <c r="F14" s="96"/>
    </row>
    <row r="15" spans="1:8" ht="20" customHeight="1" x14ac:dyDescent="0.6">
      <c r="A15" s="11" t="s">
        <v>84</v>
      </c>
      <c r="B15" s="32">
        <f>B7+B9</f>
        <v>32000000</v>
      </c>
      <c r="C15" s="95" t="s">
        <v>85</v>
      </c>
      <c r="D15" s="96"/>
      <c r="E15" s="96"/>
      <c r="F15" s="96"/>
    </row>
    <row r="16" spans="1:8" ht="26" customHeight="1" x14ac:dyDescent="0.6">
      <c r="A16" s="13" t="s">
        <v>86</v>
      </c>
      <c r="B16" s="33">
        <f>B13/B14</f>
        <v>6.25</v>
      </c>
      <c r="C16" s="101" t="str">
        <f>IF(B16&lt;6,"🔴 NGUY HIỂM — Chưa đủ dày để đàm phán hợp đồng mới hoặc nhảy việc",IF(B16&lt;=9,"🟡 WARNING — Đệm trung bình, đề phòng gián đoạn hợp đồng","🟢 AN TOÀN — Tự tin thiết kế portfolio &amp; chọn dự án chất lượng"))</f>
        <v>🟡 WARNING — Đệm trung bình, đề phòng gián đoạn hợp đồng</v>
      </c>
      <c r="D16" s="96"/>
      <c r="E16" s="96"/>
      <c r="F16" s="96"/>
    </row>
    <row r="17" spans="1:8" ht="26" customHeight="1" thickBot="1" x14ac:dyDescent="0.65">
      <c r="A17" s="12" t="s">
        <v>87</v>
      </c>
      <c r="B17" s="34">
        <f>B13/B15</f>
        <v>7.8125</v>
      </c>
      <c r="C17" s="101" t="str">
        <f>IF(B17&lt;12,"🔴 NGUY HIỂM — Quỹ sống sót dưới 1 năm",IF(B17&lt;=18,"🟡 CẢNH BÁO — Tạm ổn nếu cắt toàn bộ lifestyle expenses","🟢 AN TOÀN — Đệm sống sót dày, trên 1.5 năm tự do hoàn toàn"))</f>
        <v>🔴 NGUY HIỂM — Quỹ sống sót dưới 1 năm</v>
      </c>
      <c r="D17" s="96"/>
      <c r="E17" s="96"/>
      <c r="F17" s="96"/>
    </row>
    <row r="18" spans="1:8" ht="16.899999999999999" thickTop="1" x14ac:dyDescent="0.6">
      <c r="B18" s="19"/>
      <c r="C18" s="19"/>
      <c r="D18" s="19"/>
      <c r="E18" s="19"/>
      <c r="F18" s="19"/>
    </row>
    <row r="19" spans="1:8" ht="28.05" customHeight="1" x14ac:dyDescent="0.6">
      <c r="A19" s="76" t="s">
        <v>88</v>
      </c>
      <c r="B19" s="77"/>
      <c r="C19" s="77"/>
      <c r="D19" s="77"/>
      <c r="E19" s="77"/>
      <c r="F19" s="77"/>
    </row>
    <row r="20" spans="1:8" ht="24" customHeight="1" x14ac:dyDescent="0.6">
      <c r="A20" s="8" t="s">
        <v>89</v>
      </c>
      <c r="B20" s="20">
        <v>30000000</v>
      </c>
      <c r="C20" s="19"/>
      <c r="D20" s="19"/>
      <c r="E20" s="19"/>
      <c r="F20" s="74" t="s">
        <v>90</v>
      </c>
      <c r="G20" s="75"/>
      <c r="H20" s="75"/>
    </row>
    <row r="21" spans="1:8" ht="24" customHeight="1" x14ac:dyDescent="0.6">
      <c r="A21" s="8" t="s">
        <v>91</v>
      </c>
      <c r="B21" s="35">
        <v>15</v>
      </c>
      <c r="C21" s="19"/>
      <c r="D21" s="19"/>
      <c r="E21" s="19"/>
      <c r="F21" s="74" t="s">
        <v>92</v>
      </c>
      <c r="G21" s="75"/>
      <c r="H21" s="75"/>
    </row>
    <row r="22" spans="1:8" ht="24" customHeight="1" x14ac:dyDescent="0.6">
      <c r="A22" s="8" t="s">
        <v>93</v>
      </c>
      <c r="B22" s="36">
        <v>2.5000000000000001E-2</v>
      </c>
      <c r="C22" s="19"/>
      <c r="D22" s="19"/>
      <c r="E22" s="19"/>
      <c r="F22" s="74" t="s">
        <v>94</v>
      </c>
      <c r="G22" s="75"/>
      <c r="H22" s="75"/>
    </row>
    <row r="23" spans="1:8" x14ac:dyDescent="0.6">
      <c r="B23" s="19"/>
      <c r="C23" s="19"/>
      <c r="D23" s="19"/>
      <c r="E23" s="19"/>
      <c r="F23" s="19"/>
    </row>
    <row r="24" spans="1:8" ht="28.05" customHeight="1" thickBot="1" x14ac:dyDescent="0.65">
      <c r="A24" s="14" t="s">
        <v>95</v>
      </c>
      <c r="B24" s="98">
        <f>PV(B22/12,B21*12,-B20,0,0)</f>
        <v>4499172991.204958</v>
      </c>
      <c r="C24" s="99"/>
      <c r="D24" s="100" t="s">
        <v>96</v>
      </c>
      <c r="E24" s="96"/>
      <c r="F24" s="96"/>
    </row>
    <row r="25" spans="1:8" ht="16.899999999999999" thickTop="1" x14ac:dyDescent="0.6">
      <c r="B25" s="19"/>
      <c r="C25" s="19"/>
      <c r="D25" s="19"/>
      <c r="E25" s="19"/>
      <c r="F25" s="19"/>
    </row>
    <row r="26" spans="1:8" ht="28.05" customHeight="1" x14ac:dyDescent="0.6">
      <c r="A26" s="76" t="s">
        <v>97</v>
      </c>
      <c r="B26" s="77"/>
      <c r="C26" s="77"/>
      <c r="D26" s="77"/>
      <c r="E26" s="77"/>
      <c r="F26" s="77"/>
    </row>
    <row r="27" spans="1:8" ht="24" customHeight="1" x14ac:dyDescent="0.6">
      <c r="A27" s="8" t="s">
        <v>98</v>
      </c>
      <c r="B27" s="37">
        <v>4000</v>
      </c>
      <c r="C27" s="19"/>
      <c r="D27" s="19"/>
      <c r="E27" s="19"/>
      <c r="F27" s="74" t="s">
        <v>99</v>
      </c>
      <c r="G27" s="75"/>
      <c r="H27" s="75"/>
    </row>
    <row r="28" spans="1:8" ht="24" customHeight="1" x14ac:dyDescent="0.6">
      <c r="A28" s="8" t="s">
        <v>100</v>
      </c>
      <c r="B28" s="20">
        <v>25400</v>
      </c>
      <c r="C28" s="19"/>
      <c r="D28" s="19"/>
      <c r="E28" s="19"/>
      <c r="F28" s="74" t="s">
        <v>101</v>
      </c>
      <c r="G28" s="75"/>
      <c r="H28" s="75"/>
    </row>
    <row r="29" spans="1:8" ht="24" customHeight="1" x14ac:dyDescent="0.6">
      <c r="A29" s="8" t="s">
        <v>102</v>
      </c>
      <c r="B29" s="36">
        <v>0.03</v>
      </c>
      <c r="C29" s="19"/>
      <c r="D29" s="19"/>
      <c r="E29" s="19"/>
      <c r="F29" s="74" t="s">
        <v>103</v>
      </c>
      <c r="G29" s="75"/>
      <c r="H29" s="75"/>
    </row>
    <row r="30" spans="1:8" x14ac:dyDescent="0.6">
      <c r="B30" s="19"/>
      <c r="C30" s="19"/>
      <c r="D30" s="19"/>
      <c r="E30" s="19"/>
      <c r="F30" s="19"/>
    </row>
    <row r="31" spans="1:8" ht="20" customHeight="1" x14ac:dyDescent="0.6">
      <c r="A31" s="11" t="s">
        <v>104</v>
      </c>
      <c r="B31" s="32">
        <f>B28*(1-B29)</f>
        <v>24638</v>
      </c>
      <c r="C31" s="95" t="s">
        <v>105</v>
      </c>
      <c r="D31" s="96"/>
      <c r="E31" s="96"/>
      <c r="F31" s="96"/>
    </row>
    <row r="32" spans="1:8" ht="20" customHeight="1" x14ac:dyDescent="0.6">
      <c r="A32" s="11" t="s">
        <v>106</v>
      </c>
      <c r="B32" s="32">
        <f>B27*B28</f>
        <v>101600000</v>
      </c>
      <c r="C32" s="95" t="s">
        <v>107</v>
      </c>
      <c r="D32" s="96"/>
      <c r="E32" s="96"/>
      <c r="F32" s="96"/>
    </row>
    <row r="33" spans="1:6" ht="20" customHeight="1" x14ac:dyDescent="0.6">
      <c r="A33" s="11" t="s">
        <v>108</v>
      </c>
      <c r="B33" s="32">
        <f>B27*B31</f>
        <v>98552000</v>
      </c>
      <c r="C33" s="95" t="s">
        <v>109</v>
      </c>
      <c r="D33" s="96"/>
      <c r="E33" s="96"/>
      <c r="F33" s="96"/>
    </row>
    <row r="34" spans="1:6" ht="24" customHeight="1" thickBot="1" x14ac:dyDescent="0.65">
      <c r="A34" s="15" t="s">
        <v>110</v>
      </c>
      <c r="B34" s="38">
        <f>B32-B33</f>
        <v>3048000</v>
      </c>
      <c r="C34" s="97" t="str">
        <f>IF(B34&gt;0,"Suy giảm dòng tiền quy đổi sang VNĐ hàng tháng","Không ảnh hưởng")</f>
        <v>Suy giảm dòng tiền quy đổi sang VNĐ hàng tháng</v>
      </c>
      <c r="D34" s="96"/>
      <c r="E34" s="96"/>
      <c r="F34" s="96"/>
    </row>
    <row r="35" spans="1:6" ht="16.899999999999999" thickTop="1" x14ac:dyDescent="0.6">
      <c r="B35" s="19"/>
      <c r="C35" s="19"/>
      <c r="D35" s="19"/>
      <c r="E35" s="19"/>
      <c r="F35" s="19"/>
    </row>
    <row r="36" spans="1:6" x14ac:dyDescent="0.6">
      <c r="B36" s="19"/>
      <c r="C36" s="19"/>
      <c r="D36" s="19"/>
      <c r="E36" s="19"/>
      <c r="F36" s="19"/>
    </row>
    <row r="37" spans="1:6" x14ac:dyDescent="0.6">
      <c r="B37" s="19"/>
      <c r="C37" s="19"/>
      <c r="D37" s="19"/>
      <c r="E37" s="19"/>
      <c r="F37" s="19"/>
    </row>
    <row r="38" spans="1:6" x14ac:dyDescent="0.6">
      <c r="B38" s="19"/>
      <c r="C38" s="19"/>
      <c r="D38" s="19"/>
      <c r="E38" s="19"/>
      <c r="F38" s="19"/>
    </row>
  </sheetData>
  <mergeCells count="29">
    <mergeCell ref="C14:F14"/>
    <mergeCell ref="A1:H1"/>
    <mergeCell ref="A2:H2"/>
    <mergeCell ref="A4:F4"/>
    <mergeCell ref="F5:H5"/>
    <mergeCell ref="F6:H6"/>
    <mergeCell ref="F7:H7"/>
    <mergeCell ref="F8:H8"/>
    <mergeCell ref="F9:H9"/>
    <mergeCell ref="A11:F11"/>
    <mergeCell ref="C12:F12"/>
    <mergeCell ref="C13:F13"/>
    <mergeCell ref="F28:H28"/>
    <mergeCell ref="C15:F15"/>
    <mergeCell ref="C16:F16"/>
    <mergeCell ref="C17:F17"/>
    <mergeCell ref="A19:F19"/>
    <mergeCell ref="F20:H20"/>
    <mergeCell ref="F21:H21"/>
    <mergeCell ref="F22:H22"/>
    <mergeCell ref="B24:C24"/>
    <mergeCell ref="D24:F24"/>
    <mergeCell ref="A26:F26"/>
    <mergeCell ref="F27:H27"/>
    <mergeCell ref="F29:H29"/>
    <mergeCell ref="C31:F31"/>
    <mergeCell ref="C32:F32"/>
    <mergeCell ref="C33:F33"/>
    <mergeCell ref="C34:F34"/>
  </mergeCells>
  <conditionalFormatting sqref="B16">
    <cfRule type="cellIs" dxfId="8" priority="1" stopIfTrue="1" operator="lessThan">
      <formula>6</formula>
    </cfRule>
    <cfRule type="cellIs" dxfId="7" priority="2" stopIfTrue="1" operator="between">
      <formula>6</formula>
      <formula>9</formula>
    </cfRule>
    <cfRule type="cellIs" dxfId="6" priority="3" stopIfTrue="1" operator="greaterThan">
      <formula>9</formula>
    </cfRule>
  </conditionalFormatting>
  <conditionalFormatting sqref="B17">
    <cfRule type="cellIs" dxfId="5" priority="4" stopIfTrue="1" operator="lessThan">
      <formula>12</formula>
    </cfRule>
    <cfRule type="cellIs" dxfId="4" priority="5" stopIfTrue="1" operator="between">
      <formula>12</formula>
      <formula>18</formula>
    </cfRule>
    <cfRule type="cellIs" dxfId="3" priority="6" stopIfTrue="1" operator="greaterThan">
      <formula>18</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FC170-558B-4FC8-B60D-A1309FDEE5C1}">
  <sheetPr>
    <tabColor rgb="FF527D2E"/>
  </sheetPr>
  <dimension ref="A1:H31"/>
  <sheetViews>
    <sheetView workbookViewId="0">
      <selection sqref="A1:H1"/>
    </sheetView>
  </sheetViews>
  <sheetFormatPr defaultRowHeight="16.5" x14ac:dyDescent="0.6"/>
  <cols>
    <col min="1" max="1" width="34.73046875" style="1" bestFit="1" customWidth="1"/>
    <col min="2" max="2" width="30.1328125" style="1" bestFit="1" customWidth="1"/>
    <col min="3" max="3" width="19.19921875" style="1" bestFit="1" customWidth="1"/>
    <col min="4" max="4" width="13.796875" style="1" bestFit="1" customWidth="1"/>
    <col min="5" max="5" width="10.9296875" style="1" bestFit="1" customWidth="1"/>
    <col min="6" max="6" width="22.59765625" style="1" customWidth="1"/>
    <col min="7" max="7" width="38.59765625" style="1" customWidth="1"/>
    <col min="8" max="16384" width="9.06640625" style="1"/>
  </cols>
  <sheetData>
    <row r="1" spans="1:8" ht="44" customHeight="1" x14ac:dyDescent="0.85">
      <c r="A1" s="113" t="s">
        <v>111</v>
      </c>
      <c r="B1" s="63"/>
      <c r="C1" s="63"/>
      <c r="D1" s="63"/>
      <c r="E1" s="63"/>
      <c r="F1" s="63"/>
      <c r="G1" s="63"/>
      <c r="H1" s="63"/>
    </row>
    <row r="2" spans="1:8" x14ac:dyDescent="0.6">
      <c r="A2" s="114" t="s">
        <v>112</v>
      </c>
      <c r="B2" s="65"/>
      <c r="C2" s="65"/>
      <c r="D2" s="65"/>
      <c r="E2" s="65"/>
      <c r="F2" s="65"/>
      <c r="G2" s="65"/>
      <c r="H2" s="65"/>
    </row>
    <row r="3" spans="1:8" ht="10.050000000000001" customHeight="1" x14ac:dyDescent="0.6"/>
    <row r="4" spans="1:8" ht="28.05" customHeight="1" x14ac:dyDescent="0.6">
      <c r="A4" s="76" t="s">
        <v>113</v>
      </c>
      <c r="B4" s="85"/>
      <c r="C4" s="85"/>
      <c r="D4" s="85"/>
      <c r="E4" s="85"/>
      <c r="F4" s="85"/>
      <c r="G4" s="85"/>
    </row>
    <row r="5" spans="1:8" ht="24" customHeight="1" x14ac:dyDescent="0.6">
      <c r="A5" s="8" t="s">
        <v>114</v>
      </c>
      <c r="B5" s="22">
        <v>30</v>
      </c>
      <c r="C5" s="19"/>
      <c r="D5" s="19"/>
      <c r="E5" s="74" t="s">
        <v>115</v>
      </c>
      <c r="F5" s="75"/>
    </row>
    <row r="6" spans="1:8" ht="24" customHeight="1" x14ac:dyDescent="0.6">
      <c r="A6" s="8" t="s">
        <v>116</v>
      </c>
      <c r="B6" s="39" t="s">
        <v>118</v>
      </c>
      <c r="C6" s="19"/>
      <c r="D6" s="19"/>
      <c r="E6" s="74" t="s">
        <v>117</v>
      </c>
      <c r="F6" s="75"/>
    </row>
    <row r="7" spans="1:8" x14ac:dyDescent="0.6">
      <c r="B7" s="19"/>
      <c r="C7" s="19"/>
      <c r="D7" s="19"/>
      <c r="E7" s="19"/>
    </row>
    <row r="8" spans="1:8" ht="28.05" customHeight="1" x14ac:dyDescent="0.6">
      <c r="A8" s="76" t="s">
        <v>119</v>
      </c>
      <c r="B8" s="77"/>
      <c r="C8" s="77"/>
      <c r="D8" s="77"/>
      <c r="E8" s="77"/>
      <c r="F8" s="85"/>
      <c r="G8" s="85"/>
    </row>
    <row r="9" spans="1:8" ht="22.05" customHeight="1" x14ac:dyDescent="0.6">
      <c r="A9" s="9" t="s">
        <v>120</v>
      </c>
      <c r="B9" s="24" t="s">
        <v>121</v>
      </c>
      <c r="C9" s="102" t="s">
        <v>122</v>
      </c>
      <c r="D9" s="96"/>
      <c r="E9" s="96"/>
      <c r="F9" s="111"/>
      <c r="G9" s="111"/>
    </row>
    <row r="10" spans="1:8" ht="22.05" customHeight="1" x14ac:dyDescent="0.6">
      <c r="A10" s="16" t="s">
        <v>123</v>
      </c>
      <c r="B10" s="40">
        <f>IF(B5&gt;=55,0.4,IF(B5&gt;=45,0.3,IF(B6="Thap",0.3,0.2)))</f>
        <v>0.2</v>
      </c>
      <c r="C10" s="95" t="s">
        <v>124</v>
      </c>
      <c r="D10" s="96"/>
      <c r="E10" s="96"/>
      <c r="F10" s="111"/>
      <c r="G10" s="111"/>
    </row>
    <row r="11" spans="1:8" ht="22.05" customHeight="1" x14ac:dyDescent="0.6">
      <c r="A11" s="16" t="s">
        <v>125</v>
      </c>
      <c r="B11" s="40">
        <f>1-B10-B12</f>
        <v>0.75</v>
      </c>
      <c r="C11" s="95" t="s">
        <v>126</v>
      </c>
      <c r="D11" s="96"/>
      <c r="E11" s="96"/>
      <c r="F11" s="111"/>
      <c r="G11" s="111"/>
    </row>
    <row r="12" spans="1:8" ht="22.05" customHeight="1" x14ac:dyDescent="0.6">
      <c r="A12" s="16" t="s">
        <v>127</v>
      </c>
      <c r="B12" s="40">
        <f>IF(B6="Thap",0,IF(B6="Trung Binh",0.05,0.1))</f>
        <v>0.05</v>
      </c>
      <c r="C12" s="95" t="s">
        <v>128</v>
      </c>
      <c r="D12" s="96"/>
      <c r="E12" s="96"/>
      <c r="F12" s="111"/>
      <c r="G12" s="111"/>
    </row>
    <row r="13" spans="1:8" ht="24" customHeight="1" thickBot="1" x14ac:dyDescent="0.65">
      <c r="A13" s="12" t="s">
        <v>129</v>
      </c>
      <c r="B13" s="41">
        <f>SUM(B10:B12)</f>
        <v>1</v>
      </c>
      <c r="C13" s="110" t="s">
        <v>130</v>
      </c>
      <c r="D13" s="96"/>
      <c r="E13" s="96"/>
      <c r="F13" s="111"/>
      <c r="G13" s="111"/>
    </row>
    <row r="14" spans="1:8" ht="16.899999999999999" thickTop="1" x14ac:dyDescent="0.6">
      <c r="B14" s="19"/>
      <c r="C14" s="19"/>
      <c r="D14" s="19"/>
      <c r="E14" s="19"/>
    </row>
    <row r="15" spans="1:8" ht="28.05" customHeight="1" x14ac:dyDescent="0.6">
      <c r="A15" s="76" t="s">
        <v>131</v>
      </c>
      <c r="B15" s="77"/>
      <c r="C15" s="77"/>
      <c r="D15" s="77"/>
      <c r="E15" s="77"/>
      <c r="F15" s="85"/>
      <c r="G15" s="85"/>
    </row>
    <row r="16" spans="1:8" ht="22.05" customHeight="1" x14ac:dyDescent="0.6">
      <c r="A16" s="9" t="s">
        <v>132</v>
      </c>
      <c r="B16" s="42" t="s">
        <v>133</v>
      </c>
      <c r="C16" s="24" t="s">
        <v>134</v>
      </c>
      <c r="D16" s="102" t="s">
        <v>135</v>
      </c>
      <c r="E16" s="96"/>
      <c r="F16" s="111"/>
      <c r="G16" s="111"/>
    </row>
    <row r="17" spans="1:7" ht="22.05" customHeight="1" x14ac:dyDescent="0.6">
      <c r="A17" s="11" t="s">
        <v>136</v>
      </c>
      <c r="B17" s="43" t="s">
        <v>123</v>
      </c>
      <c r="C17" s="44">
        <v>150000000</v>
      </c>
      <c r="D17" s="107" t="s">
        <v>137</v>
      </c>
      <c r="E17" s="108"/>
      <c r="F17" s="75"/>
      <c r="G17" s="75"/>
    </row>
    <row r="18" spans="1:7" ht="22.05" customHeight="1" x14ac:dyDescent="0.6">
      <c r="A18" s="11" t="s">
        <v>138</v>
      </c>
      <c r="B18" s="43" t="s">
        <v>123</v>
      </c>
      <c r="C18" s="44">
        <v>100000000</v>
      </c>
      <c r="D18" s="107" t="s">
        <v>139</v>
      </c>
      <c r="E18" s="108"/>
      <c r="F18" s="75"/>
      <c r="G18" s="75"/>
    </row>
    <row r="19" spans="1:7" ht="22.05" customHeight="1" x14ac:dyDescent="0.6">
      <c r="A19" s="11" t="s">
        <v>140</v>
      </c>
      <c r="B19" s="43" t="s">
        <v>125</v>
      </c>
      <c r="C19" s="44">
        <v>150000000</v>
      </c>
      <c r="D19" s="107" t="s">
        <v>141</v>
      </c>
      <c r="E19" s="108"/>
      <c r="F19" s="75"/>
      <c r="G19" s="75"/>
    </row>
    <row r="20" spans="1:7" ht="22.05" customHeight="1" x14ac:dyDescent="0.6">
      <c r="A20" s="11" t="s">
        <v>142</v>
      </c>
      <c r="B20" s="43" t="s">
        <v>125</v>
      </c>
      <c r="C20" s="44">
        <v>1500000000</v>
      </c>
      <c r="D20" s="107" t="s">
        <v>143</v>
      </c>
      <c r="E20" s="108"/>
      <c r="F20" s="75"/>
      <c r="G20" s="75"/>
    </row>
    <row r="21" spans="1:7" ht="22.05" customHeight="1" x14ac:dyDescent="0.6">
      <c r="A21" s="11" t="s">
        <v>144</v>
      </c>
      <c r="B21" s="43" t="s">
        <v>127</v>
      </c>
      <c r="C21" s="44">
        <v>100000000</v>
      </c>
      <c r="D21" s="107" t="s">
        <v>145</v>
      </c>
      <c r="E21" s="108"/>
      <c r="F21" s="75"/>
      <c r="G21" s="75"/>
    </row>
    <row r="22" spans="1:7" ht="22.05" customHeight="1" x14ac:dyDescent="0.6">
      <c r="A22" s="11" t="s">
        <v>146</v>
      </c>
      <c r="B22" s="43" t="s">
        <v>127</v>
      </c>
      <c r="C22" s="44">
        <v>40000000</v>
      </c>
      <c r="D22" s="107" t="s">
        <v>147</v>
      </c>
      <c r="E22" s="108"/>
      <c r="F22" s="75"/>
      <c r="G22" s="75"/>
    </row>
    <row r="23" spans="1:7" ht="22.05" customHeight="1" x14ac:dyDescent="0.6">
      <c r="A23" s="11" t="s">
        <v>148</v>
      </c>
      <c r="B23" s="43" t="s">
        <v>127</v>
      </c>
      <c r="C23" s="45">
        <v>30000000</v>
      </c>
      <c r="D23" s="109" t="s">
        <v>149</v>
      </c>
      <c r="E23" s="108"/>
      <c r="F23" s="75"/>
      <c r="G23" s="75"/>
    </row>
    <row r="24" spans="1:7" ht="26" customHeight="1" thickBot="1" x14ac:dyDescent="0.65">
      <c r="A24" s="12" t="s">
        <v>150</v>
      </c>
      <c r="B24" s="46" t="s">
        <v>151</v>
      </c>
      <c r="C24" s="47">
        <f>SUM(C17:C23)</f>
        <v>2070000000</v>
      </c>
      <c r="D24" s="110" t="s">
        <v>152</v>
      </c>
      <c r="E24" s="96"/>
      <c r="F24" s="111"/>
      <c r="G24" s="111"/>
    </row>
    <row r="25" spans="1:7" ht="16.899999999999999" thickTop="1" x14ac:dyDescent="0.6">
      <c r="B25" s="19"/>
      <c r="C25" s="19"/>
      <c r="D25" s="19"/>
      <c r="E25" s="19"/>
    </row>
    <row r="26" spans="1:7" ht="28.05" customHeight="1" x14ac:dyDescent="0.6">
      <c r="A26" s="76" t="s">
        <v>153</v>
      </c>
      <c r="B26" s="77"/>
      <c r="C26" s="77"/>
      <c r="D26" s="77"/>
      <c r="E26" s="77"/>
      <c r="F26" s="85"/>
      <c r="G26" s="85"/>
    </row>
    <row r="27" spans="1:7" ht="22.05" customHeight="1" x14ac:dyDescent="0.6">
      <c r="A27" s="9" t="s">
        <v>120</v>
      </c>
      <c r="B27" s="24" t="s">
        <v>154</v>
      </c>
      <c r="C27" s="24" t="s">
        <v>155</v>
      </c>
      <c r="D27" s="24" t="s">
        <v>156</v>
      </c>
      <c r="E27" s="24" t="s">
        <v>157</v>
      </c>
      <c r="F27" s="112" t="s">
        <v>158</v>
      </c>
      <c r="G27" s="111"/>
    </row>
    <row r="28" spans="1:7" ht="32" customHeight="1" x14ac:dyDescent="0.6">
      <c r="A28" s="10" t="s">
        <v>123</v>
      </c>
      <c r="B28" s="48">
        <f>D28/C24</f>
        <v>0.12077294685990338</v>
      </c>
      <c r="C28" s="48">
        <f>B10</f>
        <v>0.2</v>
      </c>
      <c r="D28" s="49">
        <f>SUMIF(B17:B23,A28,C17:C23)</f>
        <v>250000000</v>
      </c>
      <c r="E28" s="50">
        <f>B28-C28</f>
        <v>-7.9227053140096634E-2</v>
      </c>
      <c r="F28" s="105" t="str">
        <f>IF(E28&gt;0.05,"Cắt giảm " &amp; TEXT(E28*C24,"#,##0") &amp; " VND",IF(E28&lt;-0.05,"Bổ sung " &amp; TEXT(-E28*C24,"#,##0") &amp; " VND","Cân bằng tốt"))</f>
        <v>Bổ sung 164,000,000 VND</v>
      </c>
      <c r="G28" s="106"/>
    </row>
    <row r="29" spans="1:7" ht="32" customHeight="1" x14ac:dyDescent="0.6">
      <c r="A29" s="10" t="s">
        <v>125</v>
      </c>
      <c r="B29" s="48">
        <f>D29/C24</f>
        <v>0.79710144927536231</v>
      </c>
      <c r="C29" s="48">
        <f>B11</f>
        <v>0.75</v>
      </c>
      <c r="D29" s="49">
        <f>SUMIF(B17:B23,A29,C17:C23)</f>
        <v>1650000000</v>
      </c>
      <c r="E29" s="50">
        <f>B29-C29</f>
        <v>4.7101449275362306E-2</v>
      </c>
      <c r="F29" s="105" t="str">
        <f>IF(E29&gt;0.05,"Cắt giảm " &amp; TEXT(E29*C24,"#,##0") &amp; " VND",IF(E29&lt;-0.05,"Bổ sung " &amp; TEXT(-E29*C24,"#,##0") &amp; " VND","Cân bằng tốt"))</f>
        <v>Cân bằng tốt</v>
      </c>
      <c r="G29" s="106"/>
    </row>
    <row r="30" spans="1:7" ht="32" customHeight="1" thickBot="1" x14ac:dyDescent="0.65">
      <c r="A30" s="17" t="s">
        <v>127</v>
      </c>
      <c r="B30" s="51">
        <f>D30/C24</f>
        <v>8.2125603864734303E-2</v>
      </c>
      <c r="C30" s="51">
        <f>B12</f>
        <v>0.05</v>
      </c>
      <c r="D30" s="52">
        <f>SUMIF(B17:B23,A30,C17:C23)</f>
        <v>170000000</v>
      </c>
      <c r="E30" s="53">
        <f>B30-C30</f>
        <v>3.2125603864734301E-2</v>
      </c>
      <c r="F30" s="105" t="str">
        <f>IF(E30&gt;0.05,"Cắt giảm " &amp; TEXT(E30*C24,"#,##0") &amp; " VND",IF(E30&lt;-0.05,"Bổ sung " &amp; TEXT(-E30*C24,"#,##0") &amp; " VND","Cân bằng tốt"))</f>
        <v>Cân bằng tốt</v>
      </c>
      <c r="G30" s="106"/>
    </row>
    <row r="31" spans="1:7" ht="16.899999999999999" thickTop="1" x14ac:dyDescent="0.6"/>
  </sheetData>
  <mergeCells count="26">
    <mergeCell ref="A8:G8"/>
    <mergeCell ref="A1:H1"/>
    <mergeCell ref="A2:H2"/>
    <mergeCell ref="A4:G4"/>
    <mergeCell ref="E5:F5"/>
    <mergeCell ref="E6:F6"/>
    <mergeCell ref="D21:G21"/>
    <mergeCell ref="C9:G9"/>
    <mergeCell ref="C10:G10"/>
    <mergeCell ref="C11:G11"/>
    <mergeCell ref="C12:G12"/>
    <mergeCell ref="C13:G13"/>
    <mergeCell ref="A15:G15"/>
    <mergeCell ref="D16:G16"/>
    <mergeCell ref="D17:G17"/>
    <mergeCell ref="D18:G18"/>
    <mergeCell ref="D19:G19"/>
    <mergeCell ref="D20:G20"/>
    <mergeCell ref="F29:G29"/>
    <mergeCell ref="F30:G30"/>
    <mergeCell ref="D22:G22"/>
    <mergeCell ref="D23:G23"/>
    <mergeCell ref="D24:G24"/>
    <mergeCell ref="A26:G26"/>
    <mergeCell ref="F27:G27"/>
    <mergeCell ref="F28:G28"/>
  </mergeCells>
  <conditionalFormatting sqref="E28:E30">
    <cfRule type="cellIs" dxfId="2" priority="1" stopIfTrue="1" operator="between">
      <formula>-0.05</formula>
      <formula>0.05</formula>
    </cfRule>
    <cfRule type="cellIs" dxfId="1" priority="2" stopIfTrue="1" operator="lessThan">
      <formula>-0.05</formula>
    </cfRule>
    <cfRule type="cellIs" dxfId="0" priority="3" stopIfTrue="1" operator="greaterThan">
      <formula>0.05</formula>
    </cfRule>
  </conditionalFormatting>
  <dataValidations count="1">
    <dataValidation type="list" allowBlank="1" showInputMessage="1" showErrorMessage="1" sqref="B6" xr:uid="{10B75EFD-1C39-44F4-9EC6-0444D51D21C5}">
      <formula1>"Thap,Trung Binh,Cao"</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27D1-6737-4745-827D-FACF3238D812}">
  <sheetPr>
    <tabColor rgb="FF002454"/>
  </sheetPr>
  <dimension ref="A1:H31"/>
  <sheetViews>
    <sheetView workbookViewId="0">
      <selection sqref="A1:H1"/>
    </sheetView>
  </sheetViews>
  <sheetFormatPr defaultRowHeight="16.5" x14ac:dyDescent="0.6"/>
  <cols>
    <col min="1" max="1" width="39.59765625" style="1" bestFit="1" customWidth="1"/>
    <col min="2" max="2" width="26.59765625" style="1" bestFit="1" customWidth="1"/>
    <col min="3" max="3" width="26.53125" style="1" bestFit="1" customWidth="1"/>
    <col min="4" max="4" width="41.796875" style="1" bestFit="1" customWidth="1"/>
    <col min="5" max="16384" width="9.06640625" style="1"/>
  </cols>
  <sheetData>
    <row r="1" spans="1:8" ht="44" customHeight="1" x14ac:dyDescent="0.85">
      <c r="A1" s="62" t="s">
        <v>159</v>
      </c>
      <c r="B1" s="63"/>
      <c r="C1" s="63"/>
      <c r="D1" s="63"/>
      <c r="E1" s="63"/>
      <c r="F1" s="63"/>
      <c r="G1" s="63"/>
      <c r="H1" s="63"/>
    </row>
    <row r="2" spans="1:8" x14ac:dyDescent="0.6">
      <c r="A2" s="64" t="s">
        <v>160</v>
      </c>
      <c r="B2" s="65"/>
      <c r="C2" s="65"/>
      <c r="D2" s="65"/>
      <c r="E2" s="65"/>
      <c r="F2" s="65"/>
      <c r="G2" s="65"/>
      <c r="H2" s="65"/>
    </row>
    <row r="3" spans="1:8" ht="10.050000000000001" customHeight="1" x14ac:dyDescent="0.6"/>
    <row r="4" spans="1:8" ht="28.05" customHeight="1" x14ac:dyDescent="0.6">
      <c r="A4" s="76" t="s">
        <v>161</v>
      </c>
      <c r="B4" s="85"/>
      <c r="C4" s="85"/>
      <c r="D4" s="85"/>
    </row>
    <row r="5" spans="1:8" ht="24" customHeight="1" x14ac:dyDescent="0.6">
      <c r="A5" s="8" t="s">
        <v>162</v>
      </c>
      <c r="B5" s="20">
        <v>15000000</v>
      </c>
      <c r="C5" s="19"/>
      <c r="D5" s="21" t="s">
        <v>163</v>
      </c>
      <c r="E5" s="19"/>
    </row>
    <row r="6" spans="1:8" ht="24" customHeight="1" x14ac:dyDescent="0.6">
      <c r="A6" s="8" t="s">
        <v>164</v>
      </c>
      <c r="B6" s="20">
        <f>'2.Runway &amp; Stress Test'!B34</f>
        <v>3048000</v>
      </c>
      <c r="C6" s="19"/>
      <c r="D6" s="21" t="s">
        <v>165</v>
      </c>
      <c r="E6" s="19"/>
    </row>
    <row r="7" spans="1:8" ht="24" customHeight="1" x14ac:dyDescent="0.6">
      <c r="A7" s="8" t="s">
        <v>166</v>
      </c>
      <c r="B7" s="54">
        <f>MAX(0, B5-B6)</f>
        <v>11952000</v>
      </c>
      <c r="C7" s="19"/>
      <c r="D7" s="21" t="s">
        <v>167</v>
      </c>
      <c r="E7" s="19"/>
    </row>
    <row r="8" spans="1:8" ht="24" customHeight="1" x14ac:dyDescent="0.6">
      <c r="A8" s="8" t="s">
        <v>168</v>
      </c>
      <c r="B8" s="20">
        <f>'1.Toi Uu Thue'!D26</f>
        <v>17410000</v>
      </c>
      <c r="C8" s="19"/>
      <c r="D8" s="21" t="s">
        <v>169</v>
      </c>
      <c r="E8" s="19"/>
    </row>
    <row r="9" spans="1:8" ht="24" customHeight="1" x14ac:dyDescent="0.6">
      <c r="A9" s="8" t="s">
        <v>170</v>
      </c>
      <c r="B9" s="55">
        <v>0.12</v>
      </c>
      <c r="C9" s="19"/>
      <c r="D9" s="21" t="s">
        <v>171</v>
      </c>
      <c r="E9" s="19"/>
    </row>
    <row r="10" spans="1:8" ht="24" customHeight="1" x14ac:dyDescent="0.6">
      <c r="A10" s="8" t="s">
        <v>172</v>
      </c>
      <c r="B10" s="30">
        <f>'2.Runway &amp; Stress Test'!B14</f>
        <v>40000000</v>
      </c>
      <c r="C10" s="19"/>
      <c r="D10" s="21" t="s">
        <v>173</v>
      </c>
      <c r="E10" s="19"/>
    </row>
    <row r="11" spans="1:8" x14ac:dyDescent="0.6">
      <c r="B11" s="19"/>
      <c r="C11" s="19"/>
      <c r="D11" s="19"/>
      <c r="E11" s="19"/>
    </row>
    <row r="12" spans="1:8" ht="28.05" customHeight="1" x14ac:dyDescent="0.6">
      <c r="A12" s="76" t="s">
        <v>174</v>
      </c>
      <c r="B12" s="77"/>
      <c r="C12" s="77"/>
      <c r="D12" s="77"/>
      <c r="E12" s="19"/>
    </row>
    <row r="13" spans="1:8" ht="22.05" customHeight="1" x14ac:dyDescent="0.6">
      <c r="A13" s="9" t="s">
        <v>175</v>
      </c>
      <c r="B13" s="24" t="s">
        <v>176</v>
      </c>
      <c r="C13" s="24" t="s">
        <v>177</v>
      </c>
      <c r="D13" s="31" t="s">
        <v>178</v>
      </c>
      <c r="E13" s="19"/>
    </row>
    <row r="14" spans="1:8" ht="22.05" customHeight="1" x14ac:dyDescent="0.6">
      <c r="A14" s="10" t="s">
        <v>179</v>
      </c>
      <c r="B14" s="32">
        <f>B10*12/0.04</f>
        <v>12000000000</v>
      </c>
      <c r="C14" s="56">
        <f>IF('3.Phan Bo 3 Lop'!C24&gt;=B14,0,IFERROR(NPER(B9/12,-(B7+B8),-'3.Phan Bo 3 Lop'!C24,B14)/12,"N/A"))</f>
        <v>9.154726180107124</v>
      </c>
      <c r="D14" s="27" t="s">
        <v>180</v>
      </c>
      <c r="E14" s="19"/>
    </row>
    <row r="15" spans="1:8" ht="22.05" customHeight="1" thickBot="1" x14ac:dyDescent="0.65">
      <c r="A15" s="10" t="s">
        <v>181</v>
      </c>
      <c r="B15" s="57">
        <f>B10*1.5*12/0.04</f>
        <v>18000000000</v>
      </c>
      <c r="C15" s="58">
        <f>IF('3.Phan Bo 3 Lop'!C24&gt;=B15,0,IFERROR(NPER(B9/12,-(B7+B8),-'3.Phan Bo 3 Lop'!C24,B15)/12,"N/A"))</f>
        <v>11.982872688271845</v>
      </c>
      <c r="D15" s="27" t="s">
        <v>182</v>
      </c>
      <c r="E15" s="19"/>
    </row>
    <row r="16" spans="1:8" ht="16.899999999999999" thickTop="1" x14ac:dyDescent="0.6">
      <c r="B16" s="19"/>
      <c r="C16" s="19"/>
      <c r="D16" s="19"/>
      <c r="E16" s="19"/>
    </row>
    <row r="17" spans="1:5" ht="28.05" customHeight="1" x14ac:dyDescent="0.6">
      <c r="A17" s="76" t="s">
        <v>183</v>
      </c>
      <c r="B17" s="77"/>
      <c r="C17" s="77"/>
      <c r="D17" s="77"/>
      <c r="E17" s="19"/>
    </row>
    <row r="18" spans="1:5" ht="22.05" customHeight="1" x14ac:dyDescent="0.6">
      <c r="A18" s="9" t="s">
        <v>184</v>
      </c>
      <c r="B18" s="24" t="s">
        <v>185</v>
      </c>
      <c r="C18" s="24" t="s">
        <v>186</v>
      </c>
      <c r="D18" s="24" t="s">
        <v>187</v>
      </c>
      <c r="E18" s="19"/>
    </row>
    <row r="19" spans="1:5" ht="20" customHeight="1" x14ac:dyDescent="0.6">
      <c r="A19" s="11">
        <v>1</v>
      </c>
      <c r="B19" s="26">
        <f>FV(B9/12, A19*12, -B7, -'3.Phan Bo 3 Lop'!C24)</f>
        <v>2484109088.3869076</v>
      </c>
      <c r="C19" s="26">
        <f>FV(B9/12, A19*12, -(B7+B8), -'3.Phan Bo 3 Lop'!C24)</f>
        <v>2704911465.8466673</v>
      </c>
      <c r="D19" s="59">
        <f t="shared" ref="D19:D30" si="0">C19-B19</f>
        <v>220802377.45975971</v>
      </c>
      <c r="E19" s="19"/>
    </row>
    <row r="20" spans="1:5" ht="20" customHeight="1" x14ac:dyDescent="0.6">
      <c r="A20" s="11">
        <v>2</v>
      </c>
      <c r="B20" s="26">
        <f>FV(B9/12, A20*12, -B7, -'3.Phan Bo 3 Lop'!C24)</f>
        <v>2950737574.3864088</v>
      </c>
      <c r="C20" s="26">
        <f>FV(B9/12, A20*12, -(B7+B8), -'3.Phan Bo 3 Lop'!C24)</f>
        <v>3420345597.4804726</v>
      </c>
      <c r="D20" s="59">
        <f t="shared" si="0"/>
        <v>469608023.09406376</v>
      </c>
      <c r="E20" s="19"/>
    </row>
    <row r="21" spans="1:5" ht="20" customHeight="1" x14ac:dyDescent="0.6">
      <c r="A21" s="11">
        <v>3</v>
      </c>
      <c r="B21" s="26">
        <f>FV(B9/12, A21*12, -B7, -'3.Phan Bo 3 Lop'!C24)</f>
        <v>3476546232.1832304</v>
      </c>
      <c r="C21" s="26">
        <f>FV(B9/12, A21*12, -(B7+B8), -'3.Phan Bo 3 Lop'!C24)</f>
        <v>4226514684.416173</v>
      </c>
      <c r="D21" s="59">
        <f t="shared" si="0"/>
        <v>749968452.23294258</v>
      </c>
      <c r="E21" s="19"/>
    </row>
    <row r="22" spans="1:5" ht="20" customHeight="1" x14ac:dyDescent="0.6">
      <c r="A22" s="11">
        <v>4</v>
      </c>
      <c r="B22" s="26">
        <f>FV(B9/12, A22*12, -B7, -'3.Phan Bo 3 Lop'!C24)</f>
        <v>4069040588.8487859</v>
      </c>
      <c r="C22" s="26">
        <f>FV(B9/12, A22*12, -(B7+B8), -'3.Phan Bo 3 Lop'!C24)</f>
        <v>5134926190.0939579</v>
      </c>
      <c r="D22" s="59">
        <f t="shared" si="0"/>
        <v>1065885601.245172</v>
      </c>
      <c r="E22" s="19"/>
    </row>
    <row r="23" spans="1:5" ht="20" customHeight="1" x14ac:dyDescent="0.6">
      <c r="A23" s="11">
        <v>5</v>
      </c>
      <c r="B23" s="26">
        <f>FV(B9/12, A23*12, -B7, -'3.Phan Bo 3 Lop'!C24)</f>
        <v>4736678060.1514711</v>
      </c>
      <c r="C23" s="26">
        <f>FV(B9/12, A23*12, -(B7+B8), -'3.Phan Bo 3 Lop'!C24)</f>
        <v>6158547012.3515539</v>
      </c>
      <c r="D23" s="59">
        <f t="shared" si="0"/>
        <v>1421868952.2000828</v>
      </c>
      <c r="E23" s="19"/>
    </row>
    <row r="24" spans="1:5" ht="20" customHeight="1" x14ac:dyDescent="0.6">
      <c r="A24" s="11">
        <v>6</v>
      </c>
      <c r="B24" s="26">
        <f>FV(B9/12, A24*12, -B7, -'3.Phan Bo 3 Lop'!C24)</f>
        <v>5488988673.8693533</v>
      </c>
      <c r="C24" s="26">
        <f>FV(B9/12, A24*12, -(B7+B8), -'3.Phan Bo 3 Lop'!C24)</f>
        <v>7311988576.2356834</v>
      </c>
      <c r="D24" s="59">
        <f t="shared" si="0"/>
        <v>1822999902.3663301</v>
      </c>
      <c r="E24" s="19"/>
    </row>
    <row r="25" spans="1:5" ht="20" customHeight="1" x14ac:dyDescent="0.6">
      <c r="A25" s="11">
        <v>7</v>
      </c>
      <c r="B25" s="26">
        <f>FV(B9/12, A25*12, -B7, -'3.Phan Bo 3 Lop'!C24)</f>
        <v>6336711103.8406048</v>
      </c>
      <c r="C25" s="26">
        <f>FV(B9/12, A25*12, -(B7+B8), -'3.Phan Bo 3 Lop'!C24)</f>
        <v>8611715401.2148838</v>
      </c>
      <c r="D25" s="59">
        <f t="shared" si="0"/>
        <v>2275004297.374279</v>
      </c>
      <c r="E25" s="19"/>
    </row>
    <row r="26" spans="1:5" ht="20" customHeight="1" x14ac:dyDescent="0.6">
      <c r="A26" s="11">
        <v>8</v>
      </c>
      <c r="B26" s="26">
        <f>FV(B9/12, A26*12, -B7, -'3.Phan Bo 3 Lop'!C24)</f>
        <v>7291945956.5365086</v>
      </c>
      <c r="C26" s="26">
        <f>FV(B9/12, A26*12, -(B7+B8), -'3.Phan Bo 3 Lop'!C24)</f>
        <v>10076280119.935402</v>
      </c>
      <c r="D26" s="59">
        <f t="shared" si="0"/>
        <v>2784334163.3988934</v>
      </c>
      <c r="E26" s="19"/>
    </row>
    <row r="27" spans="1:5" ht="20" customHeight="1" x14ac:dyDescent="0.6">
      <c r="A27" s="11">
        <v>9</v>
      </c>
      <c r="B27" s="26">
        <f>FV(B9/12, A27*12, -B7, -'3.Phan Bo 3 Lop'!C24)</f>
        <v>8368328498.2086773</v>
      </c>
      <c r="C27" s="26">
        <f>FV(B9/12, A27*12, -(B7+B8), -'3.Phan Bo 3 Lop'!C24)</f>
        <v>11726588303.237865</v>
      </c>
      <c r="D27" s="59">
        <f t="shared" si="0"/>
        <v>3358259805.0291882</v>
      </c>
      <c r="E27" s="19"/>
    </row>
    <row r="28" spans="1:5" ht="20" customHeight="1" x14ac:dyDescent="0.6">
      <c r="A28" s="11">
        <v>10</v>
      </c>
      <c r="B28" s="26">
        <f>FV(B9/12, A28*12, -B7, -'3.Phan Bo 3 Lop'!C24)</f>
        <v>9581223288.1619473</v>
      </c>
      <c r="C28" s="26">
        <f>FV(B9/12, A28*12, -(B7+B8), -'3.Phan Bo 3 Lop'!C24)</f>
        <v>13586196871.614706</v>
      </c>
      <c r="D28" s="59">
        <f t="shared" si="0"/>
        <v>4004973583.4527588</v>
      </c>
      <c r="E28" s="19"/>
    </row>
    <row r="29" spans="1:5" ht="20" customHeight="1" x14ac:dyDescent="0.6">
      <c r="A29" s="11">
        <v>15</v>
      </c>
      <c r="B29" s="26">
        <f>FV(B9/12, A29*12, -B7, -'3.Phan Bo 3 Lop'!C24)</f>
        <v>18382292609.932999</v>
      </c>
      <c r="C29" s="26">
        <f>FV(B9/12, A29*12, -(B7+B8), -'3.Phan Bo 3 Lop'!C24)</f>
        <v>27079983849.028107</v>
      </c>
      <c r="D29" s="59">
        <f t="shared" si="0"/>
        <v>8697691239.095108</v>
      </c>
      <c r="E29" s="19"/>
    </row>
    <row r="30" spans="1:5" ht="20" customHeight="1" thickBot="1" x14ac:dyDescent="0.65">
      <c r="A30" s="18">
        <v>20</v>
      </c>
      <c r="B30" s="60">
        <f>FV(B9/12, A30*12, -B7, -'3.Phan Bo 3 Lop'!C24)</f>
        <v>34371166190.628174</v>
      </c>
      <c r="C30" s="60">
        <f>FV(B9/12, A30*12, -(B7+B8), -'3.Phan Bo 3 Lop'!C24)</f>
        <v>51594102102.022171</v>
      </c>
      <c r="D30" s="61">
        <f t="shared" si="0"/>
        <v>17222935911.393997</v>
      </c>
      <c r="E30" s="19"/>
    </row>
    <row r="31" spans="1:5" ht="16.899999999999999" thickTop="1" x14ac:dyDescent="0.6"/>
  </sheetData>
  <mergeCells count="5">
    <mergeCell ref="A1:H1"/>
    <mergeCell ref="A2:H2"/>
    <mergeCell ref="A4:D4"/>
    <mergeCell ref="A12:D12"/>
    <mergeCell ref="A17:D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0.Refactor Guide</vt:lpstr>
      <vt:lpstr>1.Toi Uu Thue</vt:lpstr>
      <vt:lpstr>2.Runway &amp; Stress Test</vt:lpstr>
      <vt:lpstr>3.Phan Bo 3 Lop</vt:lpstr>
      <vt:lpstr>4.Lo Trinh FIRE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Surface</cp:lastModifiedBy>
  <dcterms:created xsi:type="dcterms:W3CDTF">2026-05-25T23:52:12Z</dcterms:created>
  <dcterms:modified xsi:type="dcterms:W3CDTF">2026-05-26T00:18:48Z</dcterms:modified>
</cp:coreProperties>
</file>